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9RRJvr0amDm03A+mtVjD5pz5yXyYsh+V70vuon+yhTuqA7B3BxSLw9pvxzM0rXBETte2BDYNxMBCdA+Iz0F6FQ==" workbookSaltValue="diiK7YkVp3Q45gN7V8/th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<sst xmlns="http://schemas.openxmlformats.org/spreadsheetml/2006/main" count="2094" uniqueCount="913">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</sst>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nEekYlrtu7+T+ZNgEryoFCMuXPYXiNEze2xA4EZZOph6rVkj33PP8EgPl9Uv3czPW8EIwBDd8nG7vAuotfoyA==" saltValue="XKgI6dPft93f7YWb02ic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2</v>
      </c>
      <c r="F10" s="230">
        <f>IF(ISNUMBER(Datos!K10),Datos!K10," - ")</f>
        <v>5</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-0.1875</v>
      </c>
      <c r="L10" s="1201">
        <f>IF(ISNUMBER(NºAsuntos!I10/NºAsuntos!G10),(NºAsuntos!I10/NºAsuntos!G10)*11," - ")</f>
        <v>28.6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42.927437641723358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2</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1212</v>
      </c>
      <c r="D16" s="229">
        <f>IF(ISNUMBER(IF(D_I="SI",Datos!I16,Datos!I16+Datos!AC16)),IF(D_I="SI",Datos!I16,Datos!I16+Datos!AC16)," - ")</f>
        <v>1202</v>
      </c>
      <c r="E16" s="230">
        <f>IF(ISNUMBER(IF(D_I="SI",Datos!J16,Datos!J16+Datos!AD16)),IF(D_I="SI",Datos!J16,Datos!J16+Datos!AD16)," - ")</f>
        <v>534</v>
      </c>
      <c r="F16" s="230">
        <f>IF(ISNUMBER(IF(D_I="SI",Datos!K16,Datos!K16+Datos!AE16)),IF(D_I="SI",Datos!K16,Datos!K16+Datos!AE16)," - ")</f>
        <v>504</v>
      </c>
      <c r="G16" s="1189" t="str">
        <f>IF(Datos!E16&lt;&gt;"",Datos!E16,Datos!D16)</f>
        <v>04</v>
      </c>
      <c r="H16" s="231">
        <f>IF(ISNUMBER(IF(D_I="SI",Datos!L16,Datos!L16+Datos!AF16)),IF(D_I="SI",Datos!L16,Datos!L16+Datos!AF16)," - ")</f>
        <v>1242</v>
      </c>
      <c r="I16" s="1199" t="str">
        <f>IF(ISNUMBER(Datos!AS16/Datos!BM16),Datos!AS16/Datos!BM16," - ")</f>
        <v xml:space="preserve"> - </v>
      </c>
      <c r="J16" s="1200">
        <f>IF(ISNUMBER(Datos!BY16/Datos!CN16),Datos!BY16/Datos!CN16," - ")</f>
        <v>0</v>
      </c>
      <c r="K16" s="234">
        <f t="shared" si="3"/>
        <v>2.4752475247524754E-2</v>
      </c>
      <c r="L16" s="1201">
        <f>IF(ISNUMBER(NºAsuntos!I16/NºAsuntos!G16),(NºAsuntos!I16/NºAsuntos!G16)*11," - ")</f>
        <v>27.107142857142858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99</v>
      </c>
      <c r="D17" s="229">
        <f>IF(ISNUMBER(IF(D_I="SI",Datos!I17,Datos!I17+Datos!AC17)),IF(D_I="SI",Datos!I17,Datos!I17+Datos!AC17)," - ")</f>
        <v>80</v>
      </c>
      <c r="E17" s="230">
        <f>IF(ISNUMBER(IF(D_I="SI",Datos!J17,Datos!J17+Datos!AD17)),IF(D_I="SI",Datos!J17,Datos!J17+Datos!AD17)," - ")</f>
        <v>6</v>
      </c>
      <c r="F17" s="230">
        <f>IF(ISNUMBER(IF(D_I="SI",Datos!K17,Datos!K17+Datos!AE17)),IF(D_I="SI",Datos!K17,Datos!K17+Datos!AE17)," - ")</f>
        <v>30</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-0.24242424242424243</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1311</v>
      </c>
      <c r="D18" s="1206">
        <f>SUBTOTAL(9,D15:D17)</f>
        <v>1282</v>
      </c>
      <c r="E18" s="1207">
        <f>SUBTOTAL(9,E15:E17)</f>
        <v>540</v>
      </c>
      <c r="F18" s="1207">
        <f>SUBTOTAL(9,F15:F17)</f>
        <v>534</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1327</v>
      </c>
      <c r="D19" s="1228">
        <f>SUBTOTAL(9,D9:D18)</f>
        <v>1298</v>
      </c>
      <c r="E19" s="1229">
        <f>SUBTOTAL(9,E9:E18)</f>
        <v>542</v>
      </c>
      <c r="F19" s="1229">
        <f>SUBTOTAL(9,F9:F18)</f>
        <v>539</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ChsytYIbWpZ3LQ8RlUfiF3a1fITM4t9BP7az1dhVKI96R5hWTxefYf+jHB5AEHRcYAKQ5UKiuWpUL5m1bSLQQ==" saltValue="9yh4qc0zAY1ff8vKrbB4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KZbprA7Lxh5Ej4P3nSfqWBv4qUem1KaVm2VVfRrgf2IxOtTV1fsi8bHeRcALGLMCwwNE+H/4Nz0K7Q9VjzSpA==" saltValue="GzBD7weADPxqe4haKRy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2</v>
      </c>
      <c r="K10" s="185">
        <v>5</v>
      </c>
      <c r="L10" s="185">
        <v>13</v>
      </c>
      <c r="M10" s="185">
        <v>0</v>
      </c>
      <c r="N10" s="185">
        <v>0</v>
      </c>
      <c r="O10" s="185">
        <v>0</v>
      </c>
      <c r="P10" s="185">
        <v>1</v>
      </c>
      <c r="Q10" s="185">
        <v>7</v>
      </c>
      <c r="R10" s="185">
        <v>19</v>
      </c>
      <c r="S10" s="185">
        <v>16</v>
      </c>
      <c r="T10" s="185">
        <v>5</v>
      </c>
      <c r="U10" s="185">
        <v>6</v>
      </c>
      <c r="V10" s="185">
        <v>15</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5</v>
      </c>
      <c r="BA10" s="130">
        <f t="shared" si="0"/>
        <v>6</v>
      </c>
      <c r="BB10" s="130">
        <f t="shared" si="0"/>
        <v>15</v>
      </c>
      <c r="BC10" s="126">
        <f t="shared" si="0"/>
        <v>2</v>
      </c>
      <c r="BD10" s="127">
        <f>IF(ISNUMBER(BA10/AZ10),BA10/AZ10," - ")</f>
        <v>1.2</v>
      </c>
      <c r="BE10" s="128">
        <f>IF(ISNUMBER(BB10/BA10),BB10/BA10, " - ")</f>
        <v>2.5</v>
      </c>
      <c r="BF10" s="128">
        <f>IF(ISNUMBER(BC10/BA10),BC10/BA10, " - ")</f>
        <v>0.33333333333333331</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1550</v>
      </c>
      <c r="J12" s="187">
        <v>529</v>
      </c>
      <c r="K12" s="187">
        <v>418</v>
      </c>
      <c r="L12" s="187">
        <v>1653</v>
      </c>
      <c r="M12" s="187">
        <v>96</v>
      </c>
      <c r="N12" s="187">
        <v>232</v>
      </c>
      <c r="O12" s="185">
        <v>223</v>
      </c>
      <c r="P12" s="187">
        <v>129</v>
      </c>
      <c r="Q12" s="187">
        <v>168</v>
      </c>
      <c r="R12" s="187">
        <v>2221</v>
      </c>
      <c r="S12" s="187">
        <v>1308</v>
      </c>
      <c r="T12" s="187">
        <v>434</v>
      </c>
      <c r="U12" s="187">
        <v>493</v>
      </c>
      <c r="V12" s="187">
        <v>1249</v>
      </c>
      <c r="W12" s="187">
        <v>120</v>
      </c>
      <c r="X12" s="193">
        <v>212</v>
      </c>
      <c r="Y12" s="195">
        <v>47</v>
      </c>
      <c r="Z12" s="185">
        <v>44</v>
      </c>
      <c r="AA12" s="185">
        <v>23</v>
      </c>
      <c r="AB12" s="185">
        <v>68</v>
      </c>
      <c r="AC12" s="187">
        <v>0</v>
      </c>
      <c r="AD12" s="187">
        <v>0</v>
      </c>
      <c r="AE12" s="187">
        <v>0</v>
      </c>
      <c r="AF12" s="193">
        <v>0</v>
      </c>
      <c r="AG12" s="206">
        <v>59</v>
      </c>
      <c r="AH12" s="187">
        <v>34</v>
      </c>
      <c r="AI12" s="187">
        <v>52</v>
      </c>
      <c r="AJ12" s="207">
        <v>41</v>
      </c>
      <c r="AK12" s="186">
        <v>0</v>
      </c>
      <c r="AL12" s="187">
        <v>0</v>
      </c>
      <c r="AM12" s="187">
        <v>0</v>
      </c>
      <c r="AN12" s="193">
        <v>0</v>
      </c>
      <c r="AO12" s="263">
        <v>3</v>
      </c>
      <c r="AP12" s="159">
        <v>3</v>
      </c>
      <c r="AQ12" s="159">
        <v>3</v>
      </c>
      <c r="AR12" s="158">
        <v>3</v>
      </c>
      <c r="AS12" s="349" t="s">
        <v>811</v>
      </c>
      <c r="AT12" s="207"/>
      <c r="AU12" s="206"/>
      <c r="AV12" s="207"/>
      <c r="AW12" s="206"/>
      <c r="AX12" s="207"/>
      <c r="AY12" s="127">
        <f t="shared" si="1"/>
        <v>1367</v>
      </c>
      <c r="AZ12" s="128">
        <f t="shared" si="1"/>
        <v>468</v>
      </c>
      <c r="BA12" s="128">
        <f t="shared" si="1"/>
        <v>545</v>
      </c>
      <c r="BB12" s="128">
        <f t="shared" si="1"/>
        <v>1290</v>
      </c>
      <c r="BC12" s="126">
        <f>IF(ISNUMBER(X12),X12," - ")</f>
        <v>212</v>
      </c>
      <c r="BD12" s="127">
        <f t="shared" si="2"/>
        <v>1.1645299145299146</v>
      </c>
      <c r="BE12" s="128">
        <f t="shared" si="3"/>
        <v>2.3669724770642202</v>
      </c>
      <c r="BF12" s="128">
        <f t="shared" si="4"/>
        <v>0.38899082568807342</v>
      </c>
      <c r="BG12" s="200">
        <f t="shared" si="5"/>
        <v>3.3669724770642202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1566</v>
      </c>
      <c r="J13" s="188">
        <f t="shared" si="6"/>
        <v>531</v>
      </c>
      <c r="K13" s="188">
        <f t="shared" si="6"/>
        <v>423</v>
      </c>
      <c r="L13" s="188">
        <f t="shared" si="6"/>
        <v>1666</v>
      </c>
      <c r="M13" s="188">
        <f t="shared" si="6"/>
        <v>96</v>
      </c>
      <c r="N13" s="188">
        <f t="shared" si="6"/>
        <v>232</v>
      </c>
      <c r="O13" s="188">
        <f t="shared" si="6"/>
        <v>223</v>
      </c>
      <c r="P13" s="188">
        <f t="shared" si="6"/>
        <v>130</v>
      </c>
      <c r="Q13" s="188">
        <f t="shared" si="6"/>
        <v>175</v>
      </c>
      <c r="R13" s="188">
        <f t="shared" si="6"/>
        <v>2240</v>
      </c>
      <c r="S13" s="188">
        <f t="shared" si="6"/>
        <v>1324</v>
      </c>
      <c r="T13" s="188">
        <f t="shared" si="6"/>
        <v>439</v>
      </c>
      <c r="U13" s="188">
        <f t="shared" si="6"/>
        <v>499</v>
      </c>
      <c r="V13" s="188">
        <f t="shared" si="6"/>
        <v>1264</v>
      </c>
      <c r="W13" s="188">
        <f t="shared" si="6"/>
        <v>122</v>
      </c>
      <c r="X13" s="188">
        <f t="shared" si="6"/>
        <v>214</v>
      </c>
      <c r="Y13" s="188">
        <f t="shared" si="6"/>
        <v>47</v>
      </c>
      <c r="Z13" s="188">
        <f t="shared" si="6"/>
        <v>44</v>
      </c>
      <c r="AA13" s="188">
        <f t="shared" si="6"/>
        <v>23</v>
      </c>
      <c r="AB13" s="188">
        <f t="shared" si="6"/>
        <v>68</v>
      </c>
      <c r="AC13" s="188">
        <f t="shared" si="6"/>
        <v>0</v>
      </c>
      <c r="AD13" s="188">
        <f t="shared" si="6"/>
        <v>0</v>
      </c>
      <c r="AE13" s="188">
        <f t="shared" si="6"/>
        <v>0</v>
      </c>
      <c r="AF13" s="188">
        <f>SUBTOTAL(9,AF9:AF12)</f>
        <v>0</v>
      </c>
      <c r="AG13" s="188">
        <f t="shared" ref="AG13:AT13" si="7">SUBTOTAL(9,AG8:AG12)</f>
        <v>59</v>
      </c>
      <c r="AH13" s="188">
        <f t="shared" si="7"/>
        <v>34</v>
      </c>
      <c r="AI13" s="188">
        <f t="shared" si="7"/>
        <v>52</v>
      </c>
      <c r="AJ13" s="188">
        <f t="shared" si="7"/>
        <v>41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1383</v>
      </c>
      <c r="AZ13" s="188">
        <f>SUBTOTAL(9,AZ8:AZ12)</f>
        <v>473</v>
      </c>
      <c r="BA13" s="188">
        <f>SUBTOTAL(9,BA8:BA12)</f>
        <v>551</v>
      </c>
      <c r="BB13" s="188">
        <f>SUBTOTAL(9,BB8:BB12)</f>
        <v>1305</v>
      </c>
      <c r="BC13" s="188">
        <f>SUBTOTAL(9,BC8:BC12)</f>
        <v>214</v>
      </c>
      <c r="BD13" s="209">
        <f>IF(ISNUMBER(BA13/AZ13),BA13/AZ13," - ")</f>
        <v>1.1649048625792813</v>
      </c>
      <c r="BE13" s="210">
        <f>IF(ISNUMBER(BB13/BA13),BB13/BA13, " - ")</f>
        <v>2.3684210526315788</v>
      </c>
      <c r="BF13" s="210">
        <f>IF(ISNUMBER(BC13/BA13),BC13/BA13, " - ")</f>
        <v>0.38838475499092556</v>
      </c>
      <c r="BG13" s="211">
        <f>IF(ISNUMBER((AY13+AZ13)/BA13),(AY13+AZ13)/BA13," - ")</f>
        <v>3.3684210526315788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1202</v>
      </c>
      <c r="J16" s="187">
        <v>534</v>
      </c>
      <c r="K16" s="187">
        <v>504</v>
      </c>
      <c r="L16" s="187">
        <v>1242</v>
      </c>
      <c r="M16" s="187">
        <v>94</v>
      </c>
      <c r="N16" s="187">
        <v>200</v>
      </c>
      <c r="O16" s="185">
        <v>8</v>
      </c>
      <c r="P16" s="187">
        <v>13</v>
      </c>
      <c r="Q16" s="187">
        <v>13</v>
      </c>
      <c r="R16" s="187">
        <v>79</v>
      </c>
      <c r="S16" s="187">
        <v>968</v>
      </c>
      <c r="T16" s="187">
        <v>750</v>
      </c>
      <c r="U16" s="187">
        <v>697</v>
      </c>
      <c r="V16" s="187">
        <v>1021</v>
      </c>
      <c r="W16" s="187">
        <v>97</v>
      </c>
      <c r="X16" s="193">
        <v>367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968</v>
      </c>
      <c r="AZ16" s="128">
        <f t="shared" si="9"/>
        <v>750</v>
      </c>
      <c r="BA16" s="128">
        <f t="shared" si="9"/>
        <v>697</v>
      </c>
      <c r="BB16" s="128">
        <f t="shared" si="9"/>
        <v>1021</v>
      </c>
      <c r="BC16" s="126">
        <f>IF(ISNUMBER(W16),W16," - ")</f>
        <v>97</v>
      </c>
      <c r="BD16" s="127">
        <f t="shared" ref="BD16" si="11">IF(ISNUMBER(BA16/AZ16),BA16/AZ16," - ")</f>
        <v>0.92933333333333334</v>
      </c>
      <c r="BE16" s="128">
        <f t="shared" ref="BE16" si="12">IF(ISNUMBER(BB16/BA16),BB16/BA16, " - ")</f>
        <v>1.4648493543758967</v>
      </c>
      <c r="BF16" s="128">
        <f t="shared" ref="BF16" si="13">IF(ISNUMBER(BC16/BA16),BC16/BA16, " - ")</f>
        <v>0.13916786226685796</v>
      </c>
      <c r="BG16" s="200">
        <f t="shared" si="10"/>
        <v>2.4648493543758967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80</v>
      </c>
      <c r="J17" s="187">
        <v>6</v>
      </c>
      <c r="K17" s="187">
        <v>30</v>
      </c>
      <c r="L17" s="187">
        <v>75</v>
      </c>
      <c r="M17" s="187">
        <v>0</v>
      </c>
      <c r="N17" s="187">
        <v>13</v>
      </c>
      <c r="O17" s="187">
        <v>0</v>
      </c>
      <c r="P17" s="187">
        <v>0</v>
      </c>
      <c r="Q17" s="187">
        <v>0</v>
      </c>
      <c r="R17" s="187">
        <v>0</v>
      </c>
      <c r="S17" s="187">
        <v>93</v>
      </c>
      <c r="T17" s="187">
        <v>78</v>
      </c>
      <c r="U17" s="187">
        <v>72</v>
      </c>
      <c r="V17" s="187">
        <v>99</v>
      </c>
      <c r="W17" s="187">
        <v>2</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93</v>
      </c>
      <c r="AZ17" s="130">
        <f t="shared" si="14"/>
        <v>78</v>
      </c>
      <c r="BA17" s="130">
        <f t="shared" si="14"/>
        <v>72</v>
      </c>
      <c r="BB17" s="130">
        <f t="shared" si="14"/>
        <v>99</v>
      </c>
      <c r="BC17" s="126">
        <f>IF(ISNUMBER(W17),W17," - ")</f>
        <v>2</v>
      </c>
      <c r="BD17" s="127">
        <f>IF(ISNUMBER(BA17/AZ17),BA17/AZ17," - ")</f>
        <v>0.92307692307692313</v>
      </c>
      <c r="BE17" s="128">
        <f>IF(ISNUMBER(BB17/BA17),BB17/BA17, " - ")</f>
        <v>1.375</v>
      </c>
      <c r="BF17" s="128">
        <f>IF(ISNUMBER(BC17/BA17),BC17/BA17, " - ")</f>
        <v>2.7777777777777776E-2</v>
      </c>
      <c r="BG17" s="200">
        <f>IF(ISNUMBER((AY17+AZ17)/BA17),(AY17+AZ17)/BA17," - ")</f>
        <v>2.375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1282</v>
      </c>
      <c r="J18" s="188">
        <f t="shared" si="15"/>
        <v>540</v>
      </c>
      <c r="K18" s="188">
        <f t="shared" si="15"/>
        <v>534</v>
      </c>
      <c r="L18" s="188">
        <f t="shared" si="15"/>
        <v>1317</v>
      </c>
      <c r="M18" s="188">
        <f t="shared" si="15"/>
        <v>94</v>
      </c>
      <c r="N18" s="188">
        <f t="shared" si="15"/>
        <v>213</v>
      </c>
      <c r="O18" s="188">
        <f t="shared" si="15"/>
        <v>8</v>
      </c>
      <c r="P18" s="188">
        <f t="shared" si="15"/>
        <v>13</v>
      </c>
      <c r="Q18" s="188">
        <f t="shared" si="15"/>
        <v>13</v>
      </c>
      <c r="R18" s="188">
        <f t="shared" si="15"/>
        <v>79</v>
      </c>
      <c r="S18" s="188">
        <f t="shared" si="15"/>
        <v>1061</v>
      </c>
      <c r="T18" s="188">
        <f t="shared" si="15"/>
        <v>828</v>
      </c>
      <c r="U18" s="188">
        <f t="shared" si="15"/>
        <v>769</v>
      </c>
      <c r="V18" s="188">
        <f t="shared" si="15"/>
        <v>1120</v>
      </c>
      <c r="W18" s="188">
        <f t="shared" si="15"/>
        <v>99</v>
      </c>
      <c r="X18" s="188">
        <f t="shared" si="15"/>
        <v>392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1061</v>
      </c>
      <c r="AZ18" s="188">
        <f>SUBTOTAL(9,AZ14:AZ17)</f>
        <v>828</v>
      </c>
      <c r="BA18" s="188">
        <f>SUBTOTAL(9,BA14:BA17)</f>
        <v>769</v>
      </c>
      <c r="BB18" s="188">
        <f>SUBTOTAL(9,BB14:BB17)</f>
        <v>1120</v>
      </c>
      <c r="BC18" s="188">
        <f>SUBTOTAL(9,BC14:BC17)</f>
        <v>99</v>
      </c>
      <c r="BD18" s="209">
        <f>IF(ISNUMBER(BA18/AZ18),BA18/AZ18," - ")</f>
        <v>0.92874396135265702</v>
      </c>
      <c r="BE18" s="210">
        <f>IF(ISNUMBER(BB18/BA18),BB18/BA18, " - ")</f>
        <v>1.4564369310793237</v>
      </c>
      <c r="BF18" s="210">
        <f>IF(ISNUMBER(BC18/BA18),BC18/BA18, " - ")</f>
        <v>0.12873862158647595</v>
      </c>
      <c r="BG18" s="211">
        <f>IF(ISNUMBER((AY18+AZ18)/BA18),(AY18+AZ18)/BA18," - ")</f>
        <v>2.4564369310793239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2848</v>
      </c>
      <c r="J19" s="135">
        <f t="shared" si="18"/>
        <v>1071</v>
      </c>
      <c r="K19" s="135">
        <f t="shared" si="18"/>
        <v>957</v>
      </c>
      <c r="L19" s="135">
        <f t="shared" si="18"/>
        <v>2983</v>
      </c>
      <c r="M19" s="135">
        <f t="shared" si="18"/>
        <v>190</v>
      </c>
      <c r="N19" s="135">
        <f t="shared" si="18"/>
        <v>445</v>
      </c>
      <c r="O19" s="135">
        <f t="shared" si="18"/>
        <v>231</v>
      </c>
      <c r="P19" s="135">
        <f t="shared" si="18"/>
        <v>143</v>
      </c>
      <c r="Q19" s="135">
        <f t="shared" si="18"/>
        <v>188</v>
      </c>
      <c r="R19" s="135">
        <f t="shared" si="18"/>
        <v>2319</v>
      </c>
      <c r="S19" s="135">
        <f t="shared" si="18"/>
        <v>2385</v>
      </c>
      <c r="T19" s="135">
        <f t="shared" si="18"/>
        <v>1267</v>
      </c>
      <c r="U19" s="135">
        <f t="shared" si="18"/>
        <v>1268</v>
      </c>
      <c r="V19" s="135">
        <f t="shared" si="18"/>
        <v>2384</v>
      </c>
      <c r="W19" s="135">
        <f t="shared" si="18"/>
        <v>221</v>
      </c>
      <c r="X19" s="135">
        <f t="shared" si="18"/>
        <v>606</v>
      </c>
      <c r="Y19" s="135">
        <f t="shared" si="18"/>
        <v>47</v>
      </c>
      <c r="Z19" s="135">
        <f t="shared" si="18"/>
        <v>44</v>
      </c>
      <c r="AA19" s="135">
        <f t="shared" si="18"/>
        <v>23</v>
      </c>
      <c r="AB19" s="135">
        <f t="shared" si="18"/>
        <v>68</v>
      </c>
      <c r="AC19" s="135">
        <f t="shared" si="18"/>
        <v>0</v>
      </c>
      <c r="AD19" s="135">
        <f t="shared" si="18"/>
        <v>0</v>
      </c>
      <c r="AE19" s="135">
        <f t="shared" si="18"/>
        <v>0</v>
      </c>
      <c r="AF19" s="135">
        <f t="shared" si="18"/>
        <v>0</v>
      </c>
      <c r="AG19" s="135">
        <f t="shared" si="18"/>
        <v>59</v>
      </c>
      <c r="AH19" s="135">
        <f t="shared" si="18"/>
        <v>34</v>
      </c>
      <c r="AI19" s="135">
        <f t="shared" si="18"/>
        <v>52</v>
      </c>
      <c r="AJ19" s="135">
        <f t="shared" si="18"/>
        <v>41</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2444</v>
      </c>
      <c r="AZ19" s="135">
        <f>SUBTOTAL(9,AZ9:AZ18)</f>
        <v>1301</v>
      </c>
      <c r="BA19" s="135">
        <f>SUBTOTAL(9,BA9:BA18)</f>
        <v>1320</v>
      </c>
      <c r="BB19" s="135">
        <f>SUBTOTAL(9,BB9:BB18)</f>
        <v>2425</v>
      </c>
      <c r="BC19" s="136">
        <f>SUBTOTAL(9,BC9:BC18)</f>
        <v>313</v>
      </c>
      <c r="BD19" s="217">
        <f>IF(ISNUMBER(BA19/AZ19),BA19/AZ19," - ")</f>
        <v>1.0146041506533436</v>
      </c>
      <c r="BE19" s="214">
        <f>IF(ISNUMBER(BB19/BA19),BB19/BA19, " - ")</f>
        <v>1.8371212121212122</v>
      </c>
      <c r="BF19" s="214">
        <f>IF(ISNUMBER(BC19/BA19),BC19/BA19, " - ")</f>
        <v>0.23712121212121212</v>
      </c>
      <c r="BG19" s="136">
        <f>IF(ISNUMBER((AY19+AZ19)/BA19),(AY19+AZ19)/BA19," - ")</f>
        <v>2.8371212121212119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544fif5qUUxD3qLPf2gCHbUGqwx5v2uzrkON9bvlRcyrGLeSC8s3td8jG+1tzQ/F9D6KPLzzyC2CIYlj5pE8g==" saltValue="Ga6SxSZ1Tq+6Z7yU6VIY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e2NlO/zy0D5Bru4J6Y2EZXpBLm2QxaKYJT+KW+QFU1MAtyBRpBsLBKLhV/iCDubBA7GieHdKUHPir5KYoQrbQ==" saltValue="aadta7dLPKcovP8513uU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NAVALMORAL DE LA MATA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7</v>
      </c>
      <c r="AD10" s="503"/>
      <c r="AE10" s="516"/>
      <c r="AF10" s="505">
        <f>IF(ISNUMBER(Datos!L10),Datos!L10,"-")</f>
        <v>13</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2.5</v>
      </c>
      <c r="BH10" s="669">
        <f>IF(ISNUMBER(((Datos!L10/Datos!K10)*11)/factor_trimestre),((Datos!L10/Datos!K10)*11)/factor_trimestre," - ")</f>
        <v>7.8000000000000007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129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68</v>
      </c>
      <c r="AI12" s="503" t="str">
        <f>IF(ISNUMBER(Datos!CD12),Datos!CD12,"-")</f>
        <v>-</v>
      </c>
      <c r="AJ12" s="503" t="str">
        <f>IF(ISNUMBER(Datos!EN12),Datos!EN12," - ")</f>
        <v xml:space="preserve"> - </v>
      </c>
      <c r="AK12" s="503"/>
      <c r="AL12" s="504"/>
      <c r="AM12" s="671">
        <f>IF(ISNUMBER(Datos!R12),Datos!R12," - ")</f>
        <v>2221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96</v>
      </c>
      <c r="BD12" s="619">
        <f>IF(ISNUMBER(Datos!N12),Datos!N12," - ")</f>
        <v>232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0.76963350785340312</v>
      </c>
      <c r="BH12" s="669">
        <f>IF(ISNUMBER(((IF(J_V="SI",Datos!L12/Datos!K12,(Datos!L12+Datos!AB12)/(Datos!K12+Datos!AA12)))*11)/factor_trimestre),((IF(J_V="SI",Datos!L12/Datos!K12,(Datos!L12+Datos!AB12)/(Datos!K12+Datos!AA12)))*11)/factor_trimestre," - ")</f>
        <v>11.70748299319728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-1.7256637168141593E-2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130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175</v>
      </c>
      <c r="AD13" s="1045">
        <f t="shared" si="1"/>
        <v>0</v>
      </c>
      <c r="AE13" s="1045">
        <f t="shared" si="1"/>
        <v>0</v>
      </c>
      <c r="AF13" s="1045">
        <f t="shared" si="1"/>
        <v>13</v>
      </c>
      <c r="AG13" s="1045">
        <f t="shared" si="1"/>
        <v>0</v>
      </c>
      <c r="AH13" s="1045">
        <f t="shared" si="1"/>
        <v>68</v>
      </c>
      <c r="AI13" s="1045">
        <f t="shared" si="1"/>
        <v>0</v>
      </c>
      <c r="AJ13" s="1045">
        <f t="shared" si="1"/>
        <v>0</v>
      </c>
      <c r="AK13" s="1045">
        <f t="shared" si="1"/>
        <v>0</v>
      </c>
      <c r="AL13" s="1045">
        <f t="shared" si="1"/>
        <v>0</v>
      </c>
      <c r="AM13" s="1045">
        <f t="shared" si="1"/>
        <v>2240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96</v>
      </c>
      <c r="BD13" s="1045">
        <f t="shared" si="1"/>
        <v>232</v>
      </c>
      <c r="BE13" s="1045">
        <f t="shared" si="1"/>
        <v>0</v>
      </c>
      <c r="BF13" s="1045">
        <f t="shared" si="1"/>
        <v>0</v>
      </c>
      <c r="BG13" s="1045">
        <f>IF(ISNUMBER(Datos!K13/Datos!J13),Datos!K13/Datos!J13," - ")</f>
        <v>0.79661016949152541</v>
      </c>
      <c r="BH13" s="1049">
        <f>IF(ISNUMBER(((Datos!L13/Datos!K13)*11)/factor_trimestre),((Datos!L13/Datos!K13)*11)/factor_trimestre," - ")</f>
        <v>11.815602836879433</v>
      </c>
      <c r="BI13" s="1045">
        <f>IF(ISNUMBER('Resol  Asuntos'!D13/NºAsuntos!G13),'Resol  Asuntos'!D13/NºAsuntos!G13," - ")</f>
        <v>0.21524663677130046</v>
      </c>
      <c r="BJ13" s="1045" t="str">
        <f>IF(ISNUMBER(Datos!CI13/Datos!CJ13),Datos!CI13/Datos!CJ13," - ")</f>
        <v xml:space="preserve"> - </v>
      </c>
      <c r="BK13" s="1045">
        <f>SUBTOTAL(9,BK8:BK12)</f>
        <v>0</v>
      </c>
      <c r="BL13" s="1045">
        <f>IF(ISNUMBER((I13-AB13+L13)/(F13)),(I13-AB13+L13)/(F13)," - ")</f>
        <v>-0.3125</v>
      </c>
      <c r="BM13" s="1050">
        <f>SUBTOTAL(9,BM9:BM12)</f>
        <v>-0.25725663716814157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1212</v>
      </c>
      <c r="G16" s="650">
        <f>IF(ISNUMBER(IF(D_I="SI",Datos!I16,Datos!I16+Datos!AC16)),IF(D_I="SI",Datos!I16,Datos!I16+Datos!AC16)," - ")</f>
        <v>1202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504</v>
      </c>
      <c r="AC16" s="230">
        <f>IF(ISNUMBER(Datos!Q16),Datos!Q16," - ")</f>
        <v>13</v>
      </c>
      <c r="AD16" s="343"/>
      <c r="AE16" s="515"/>
      <c r="AF16" s="648">
        <f>IF(ISNUMBER(IF(D_I="SI",Datos!L16,Datos!L16+Datos!AF16)),IF(D_I="SI",Datos!L16,Datos!L16+Datos!AF16)," - ")</f>
        <v>1242</v>
      </c>
      <c r="AG16" s="343"/>
      <c r="AH16" s="343"/>
      <c r="AI16" s="343"/>
      <c r="AJ16" s="503"/>
      <c r="AK16" s="343"/>
      <c r="AL16" s="499"/>
      <c r="AM16" s="344">
        <f>IF(ISNUMBER(Datos!R16),Datos!R16," - ")</f>
        <v>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94</v>
      </c>
      <c r="BD16" s="233">
        <f>IF(ISNUMBER(Datos!N16),Datos!N16," - ")</f>
        <v>200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0.9438202247191011</v>
      </c>
      <c r="BH16" s="669">
        <f>IF(ISNUMBER(((IF(D_I="SI",Datos!L16/Datos!K16,(Datos!L16+Datos!AF16)/(Datos!K16+Datos!AE16)))*11)/factor_trimestre),((IF(D_I="SI",Datos!L16/Datos!K16,(Datos!L16+Datos!AF16)/(Datos!K16+Datos!AE16)))*11)/factor_trimestre," - ")</f>
        <v>7.3928571428571432</v>
      </c>
      <c r="BI16" s="247">
        <f>IF(ISNUMBER('Resol  Asuntos'!D16/NºAsuntos!G16),'Resol  Asuntos'!D16/NºAsuntos!G16," - ")</f>
        <v>0.18650793650793651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75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5</v>
      </c>
      <c r="BH17" s="669">
        <f>IF(ISNUMBER(((IF(D_I="SI",Datos!L17/Datos!K17,(Datos!L17+Datos!AF17)/(Datos!K17+Datos!AE17)))*11)/factor_trimestre),((IF(D_I="SI",Datos!L17/Datos!K17,(Datos!L17+Datos!AF17)/(Datos!K17+Datos!AE17)))*11)/factor_trimestre," - ")</f>
        <v>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1212</v>
      </c>
      <c r="G18" s="1044">
        <f>SUBTOTAL(9,G15:G17)</f>
        <v>1282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534</v>
      </c>
      <c r="AC18" s="1045">
        <f t="shared" si="4"/>
        <v>13</v>
      </c>
      <c r="AD18" s="1045">
        <f t="shared" si="4"/>
        <v>0</v>
      </c>
      <c r="AE18" s="1045">
        <f t="shared" si="4"/>
        <v>0</v>
      </c>
      <c r="AF18" s="1045">
        <f t="shared" si="4"/>
        <v>1317</v>
      </c>
      <c r="AG18" s="1045">
        <f t="shared" si="4"/>
        <v>0</v>
      </c>
      <c r="AH18" s="1045">
        <f t="shared" si="4"/>
        <v>0</v>
      </c>
      <c r="AI18" s="1045">
        <f t="shared" si="4"/>
        <v>0</v>
      </c>
      <c r="AJ18" s="1045">
        <f t="shared" si="4"/>
        <v>0</v>
      </c>
      <c r="AK18" s="1045">
        <f t="shared" si="4"/>
        <v>0</v>
      </c>
      <c r="AL18" s="1045">
        <f t="shared" si="4"/>
        <v>0</v>
      </c>
      <c r="AM18" s="1045">
        <f t="shared" si="4"/>
        <v>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94</v>
      </c>
      <c r="BD18" s="1045">
        <f t="shared" si="4"/>
        <v>213</v>
      </c>
      <c r="BE18" s="1045">
        <f t="shared" si="4"/>
        <v>0</v>
      </c>
      <c r="BF18" s="1045">
        <f t="shared" si="4"/>
        <v>0</v>
      </c>
      <c r="BG18" s="1045">
        <f>IF(ISNUMBER(Datos!K18/Datos!J18),Datos!K18/Datos!J18," - ")</f>
        <v>0.98888888888888893</v>
      </c>
      <c r="BH18" s="1049">
        <f>IF(ISNUMBER(((Datos!L18/Datos!K18)*11)/factor_trimestre),((Datos!L18/Datos!K18)*11)/factor_trimestre," - ")</f>
        <v>7.3988764044943824</v>
      </c>
      <c r="BI18" s="1045">
        <f>SUBTOTAL(9,BI15:BI17)</f>
        <v>0.18650793650793651</v>
      </c>
      <c r="BJ18" s="1045">
        <f>SUBTOTAL(9,BJ15:BJ17)</f>
        <v>0</v>
      </c>
      <c r="BK18" s="1045">
        <f>SUBTOTAL(9,BK15:BK17)</f>
        <v>0</v>
      </c>
      <c r="BL18" s="1045">
        <f>IF(ISNUMBER((I18-AB18+L18)/(F18)),(I18-AB18+L18)/(F18)," - ")</f>
        <v>-0.4405940594059406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1228</v>
      </c>
      <c r="G19" s="966">
        <f t="shared" si="6"/>
        <v>1298</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143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539</v>
      </c>
      <c r="AC19" s="967">
        <f t="shared" si="7"/>
        <v>188</v>
      </c>
      <c r="AD19" s="967">
        <f t="shared" si="7"/>
        <v>0</v>
      </c>
      <c r="AE19" s="967">
        <f t="shared" si="7"/>
        <v>0</v>
      </c>
      <c r="AF19" s="974">
        <f t="shared" si="7"/>
        <v>1330</v>
      </c>
      <c r="AG19" s="974">
        <f t="shared" si="7"/>
        <v>0</v>
      </c>
      <c r="AH19" s="974">
        <f t="shared" si="7"/>
        <v>68</v>
      </c>
      <c r="AI19" s="974">
        <f t="shared" si="7"/>
        <v>0</v>
      </c>
      <c r="AJ19" s="967">
        <f t="shared" si="7"/>
        <v>0</v>
      </c>
      <c r="AK19" s="974">
        <f t="shared" si="7"/>
        <v>0</v>
      </c>
      <c r="AL19" s="974">
        <f t="shared" si="7"/>
        <v>0</v>
      </c>
      <c r="AM19" s="974">
        <f t="shared" si="7"/>
        <v>2319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190</v>
      </c>
      <c r="BD19" s="966">
        <f t="shared" si="7"/>
        <v>445</v>
      </c>
      <c r="BE19" s="966">
        <f t="shared" si="7"/>
        <v>0</v>
      </c>
      <c r="BF19" s="976">
        <f t="shared" si="7"/>
        <v>0</v>
      </c>
      <c r="BG19" s="1061">
        <f>IF(ISNUMBER(Datos!K19/Datos!J19),Datos!K19/Datos!J19," - ")</f>
        <v>0.89355742296918772</v>
      </c>
      <c r="BH19" s="1061">
        <f>IF(ISNUMBER(((Datos!L19/Datos!K19)*11)/factor_trimestre),((Datos!L19/Datos!K19)*11)/factor_trimestre," - ")</f>
        <v>9.3510971786833874</v>
      </c>
      <c r="BI19" s="959">
        <f>IF(ISNUMBER(Datos!J19/Datos!I19),Datos!J19/Datos!I19," - ")</f>
        <v>0.37605337078651685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-0.43892508143322473</v>
      </c>
      <c r="BM19" s="1035">
        <f>IF(ISNUMBER((Datos!P19-Datos!Q19+R19)/(Datos!R19-Datos!P19+Datos!Q19-R19)),(Datos!P19-Datos!Q19+R19)/(Datos!R19-Datos!P19+Datos!Q19-R19)," - ")</f>
        <v>-1.9035532994923859E-2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519.20000000000005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690.51092195079241</v>
      </c>
      <c r="G21" s="600">
        <f>IF(ISNUMBER(STDEV(G8:G18)),STDEV(G8:G18),"-")</f>
        <v>660.94568611951775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277.35590853630646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49.065942023634541</v>
      </c>
      <c r="BD21" s="599"/>
      <c r="BE21" s="599">
        <f>IF(ISNUMBER(STDEV(BE8:BE18)),STDEV(BE8:BE18),"-")</f>
        <v>0</v>
      </c>
      <c r="BF21" s="604">
        <f>IF(ISNUMBER(STDEV(BF8:BF18)),STDEV(BF8:BF18),"-")</f>
        <v>0</v>
      </c>
      <c r="BG21" s="914">
        <f>IF(ISNUMBER(STDEV(BG8:BG18)),STDEV(BG8:BG18),"-")</f>
        <v>1.6842086727463197</v>
      </c>
      <c r="BH21" s="918">
        <f>IF(ISNUMBER(STDEV(BH8:BH18)),STDEV(BH8:BH18),"-")</f>
        <v>2.1940766200315474</v>
      </c>
      <c r="BI21" s="253">
        <f>IF(ISNUMBER(STDEV(BI8:BI18)),STDEV(BI8:BI18),"-")</f>
        <v>9.8975317288330408E-2</v>
      </c>
      <c r="BJ21" s="234" t="str">
        <f>IF(ISNUMBER(BL21/BM21),BL21/BM21," - ")</f>
        <v xml:space="preserve"> - </v>
      </c>
      <c r="BK21" s="626"/>
      <c r="BL21" s="607">
        <f>IF(ISNUMBER(STDEV(BL8:BL18)),STDEV(BL8:BL18),"-")</f>
        <v>9.0576178035653057E-2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dqpCWJDWaeka5aHuHLomXBa6BKUQwCB6H9ytWqUkZ/GoUihvTqAflp2ilq6QXDGlSv5+pJedqNAV8XJXCRzWA==" saltValue="vW7CyPLPdKXTkrVnxVV2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NAVALMORAL DE LA MATA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7</v>
      </c>
      <c r="AA10" s="505">
        <f>IF(ISNUMBER(Datos!L10),Datos!L10,"-")</f>
        <v>13</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7.8000000000000007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168</v>
      </c>
      <c r="AA12" s="505" t="str">
        <f>IF(ISNUMBER(IF(J_V="SI",Datos!L12,Datos!L12+Datos!AB12)-IF(Monitorios="SI",Datos!CD12,0)),
                          IF(J_V="SI",Datos!L12,Datos!L12+Datos!AB12)-IF(Monitorios="SI",Datos!CD12,0),
                          " - ")</f>
        <v xml:space="preserve"> - </v>
      </c>
      <c r="AB12" s="503"/>
      <c r="AC12" s="503"/>
      <c r="AD12" s="516"/>
      <c r="AE12" s="516">
        <f>IF(ISNUMBER(Datos!R12),Datos!R12," - ")</f>
        <v>2221</v>
      </c>
      <c r="AF12" s="619" t="str">
        <f>IF(ISNUMBER(Datos!BV12),Datos!BV12," - ")</f>
        <v xml:space="preserve"> - </v>
      </c>
      <c r="AG12" s="506" t="str">
        <f>IF(ISNUMBER(Datos!DV12),Datos!DV12," - ")</f>
        <v xml:space="preserve"> - </v>
      </c>
      <c r="AH12" s="507"/>
      <c r="AI12" s="508"/>
      <c r="AJ12" s="506">
        <f>IF(ISNUMBER(Datos!M12),Datos!M12," - ")</f>
        <v>96</v>
      </c>
      <c r="AK12" s="619">
        <f>IF(ISNUMBER(Datos!N12),Datos!N12," - ")</f>
        <v>232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11.70748299319728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-1.7256637168141593E-2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175</v>
      </c>
      <c r="AA13" s="1046">
        <f t="shared" si="2"/>
        <v>13</v>
      </c>
      <c r="AB13" s="1046">
        <f t="shared" si="2"/>
        <v>0</v>
      </c>
      <c r="AC13" s="1046">
        <f t="shared" si="2"/>
        <v>0</v>
      </c>
      <c r="AD13" s="1046">
        <f t="shared" si="2"/>
        <v>0</v>
      </c>
      <c r="AE13" s="1046">
        <f t="shared" si="2"/>
        <v>2240</v>
      </c>
      <c r="AF13" s="1054">
        <f t="shared" si="2"/>
        <v>0</v>
      </c>
      <c r="AG13" s="1054">
        <f t="shared" si="2"/>
        <v>0</v>
      </c>
      <c r="AH13" s="1054">
        <f t="shared" si="2"/>
        <v>0</v>
      </c>
      <c r="AI13" s="1054">
        <f t="shared" si="2"/>
        <v>0</v>
      </c>
      <c r="AJ13" s="1054">
        <f t="shared" si="2"/>
        <v>96</v>
      </c>
      <c r="AK13" s="1054">
        <f t="shared" si="2"/>
        <v>232</v>
      </c>
      <c r="AL13" s="1054">
        <f t="shared" si="2"/>
        <v>0</v>
      </c>
      <c r="AM13" s="1054">
        <f t="shared" si="2"/>
        <v>0</v>
      </c>
      <c r="AN13" s="1054">
        <f t="shared" si="2"/>
        <v>0</v>
      </c>
      <c r="AO13" s="1050">
        <f>IF(ISNUMBER(((NºAsuntos!I13/NºAsuntos!G13)*11)/factor_trimestre),((NºAsuntos!I13/NºAsuntos!G13)*11)/factor_trimestre," - ")</f>
        <v>11.663677130044842</v>
      </c>
      <c r="AP13" s="1056" t="str">
        <f>IF(ISNUMBER(Datos!CI13/Datos!CJ13),Datos!CI13/Datos!CJ13," - ")</f>
        <v xml:space="preserve"> - </v>
      </c>
      <c r="AQ13" s="1074">
        <f t="shared" ref="AQ13:AV13" si="3">SUBTOTAL(9,AQ9:AQ12)</f>
        <v>0</v>
      </c>
      <c r="AR13" s="1074">
        <f t="shared" si="3"/>
        <v>-0.25725663716814157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1212</v>
      </c>
      <c r="G16" s="506">
        <f>IF(ISNUMBER(IF(D_I="SI",Datos!I16,Datos!I16+Datos!AC16)),IF(D_I="SI",Datos!I16,Datos!I16+Datos!AC16)," - ")</f>
        <v>1202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504</v>
      </c>
      <c r="Z16" s="703">
        <f>IF(ISNUMBER(Datos!Q16),Datos!Q16," - ")</f>
        <v>13</v>
      </c>
      <c r="AA16" s="505">
        <f>IF(ISNUMBER(IF(D_I="SI",Datos!L16,Datos!L16+Datos!AF16)),IF(D_I="SI",Datos!L16,Datos!L16+Datos!AF16)," - ")</f>
        <v>1242</v>
      </c>
      <c r="AB16" s="503"/>
      <c r="AC16" s="503"/>
      <c r="AD16" s="516"/>
      <c r="AE16" s="516">
        <f>IF(ISNUMBER(Datos!R16),Datos!R16," - ")</f>
        <v>79</v>
      </c>
      <c r="AF16" s="619" t="str">
        <f>IF(ISNUMBER(Datos!BV16),Datos!BV16," - ")</f>
        <v xml:space="preserve"> - </v>
      </c>
      <c r="AG16" s="506"/>
      <c r="AH16" s="507"/>
      <c r="AI16" s="508"/>
      <c r="AJ16" s="506">
        <f>IF(ISNUMBER(Datos!M16),Datos!M16," - ")</f>
        <v>94</v>
      </c>
      <c r="AK16" s="619">
        <f>IF(ISNUMBER(Datos!N16),Datos!N16," - ")</f>
        <v>200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7.3928571428571432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75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1212</v>
      </c>
      <c r="G18" s="1044">
        <f>SUBTOTAL(9,G15:G17)</f>
        <v>1282</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534</v>
      </c>
      <c r="Z18" s="1078">
        <f t="shared" si="5"/>
        <v>13</v>
      </c>
      <c r="AA18" s="1078">
        <f t="shared" si="5"/>
        <v>1317</v>
      </c>
      <c r="AB18" s="1078">
        <f t="shared" si="5"/>
        <v>0</v>
      </c>
      <c r="AC18" s="1078">
        <f t="shared" si="5"/>
        <v>0</v>
      </c>
      <c r="AD18" s="1078">
        <f t="shared" si="5"/>
        <v>0</v>
      </c>
      <c r="AE18" s="1078">
        <f t="shared" si="5"/>
        <v>79</v>
      </c>
      <c r="AF18" s="1078">
        <f t="shared" si="5"/>
        <v>0</v>
      </c>
      <c r="AG18" s="1078">
        <f t="shared" si="5"/>
        <v>0</v>
      </c>
      <c r="AH18" s="1078">
        <f t="shared" si="5"/>
        <v>0</v>
      </c>
      <c r="AI18" s="1078">
        <f t="shared" si="5"/>
        <v>0</v>
      </c>
      <c r="AJ18" s="1078">
        <f t="shared" si="5"/>
        <v>94</v>
      </c>
      <c r="AK18" s="1078">
        <f t="shared" si="5"/>
        <v>213</v>
      </c>
      <c r="AL18" s="1078">
        <f t="shared" si="5"/>
        <v>0</v>
      </c>
      <c r="AM18" s="1078">
        <f t="shared" si="5"/>
        <v>0</v>
      </c>
      <c r="AN18" s="1078">
        <f t="shared" si="5"/>
        <v>0</v>
      </c>
      <c r="AO18" s="1080">
        <f>IF(ISNUMBER(((NºAsuntos!I18/NºAsuntos!G18)*11)/factor_trimestre),((NºAsuntos!I18/NºAsuntos!G18)*11)/factor_trimestre," - ")</f>
        <v>7.3988764044943824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1228</v>
      </c>
      <c r="G19" s="966">
        <f t="shared" si="7"/>
        <v>1298</v>
      </c>
      <c r="H19" s="967">
        <f t="shared" si="7"/>
        <v>0</v>
      </c>
      <c r="I19" s="966">
        <f t="shared" si="7"/>
        <v>0</v>
      </c>
      <c r="J19" s="968">
        <f t="shared" si="7"/>
        <v>0</v>
      </c>
      <c r="K19" s="966">
        <f t="shared" si="7"/>
        <v>0</v>
      </c>
      <c r="L19" s="969">
        <f t="shared" si="7"/>
        <v>0</v>
      </c>
      <c r="M19" s="966">
        <f t="shared" si="7"/>
        <v>0</v>
      </c>
      <c r="N19" s="967">
        <f t="shared" si="7"/>
        <v>143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539</v>
      </c>
      <c r="Z19" s="973">
        <f t="shared" si="8"/>
        <v>188</v>
      </c>
      <c r="AA19" s="974">
        <f t="shared" si="8"/>
        <v>1330</v>
      </c>
      <c r="AB19" s="974">
        <f t="shared" si="8"/>
        <v>0</v>
      </c>
      <c r="AC19" s="974">
        <f t="shared" si="8"/>
        <v>0</v>
      </c>
      <c r="AD19" s="975">
        <f t="shared" si="8"/>
        <v>0</v>
      </c>
      <c r="AE19" s="975">
        <f t="shared" si="8"/>
        <v>2319</v>
      </c>
      <c r="AF19" s="976">
        <f t="shared" si="8"/>
        <v>0</v>
      </c>
      <c r="AG19" s="977">
        <f t="shared" si="8"/>
        <v>0</v>
      </c>
      <c r="AH19" s="978">
        <f t="shared" si="8"/>
        <v>0</v>
      </c>
      <c r="AI19" s="976">
        <f t="shared" si="8"/>
        <v>0</v>
      </c>
      <c r="AJ19" s="966">
        <f t="shared" si="8"/>
        <v>190</v>
      </c>
      <c r="AK19" s="966">
        <f t="shared" si="8"/>
        <v>445</v>
      </c>
      <c r="AL19" s="966">
        <f t="shared" si="8"/>
        <v>0</v>
      </c>
      <c r="AM19" s="979">
        <f t="shared" si="8"/>
        <v>0</v>
      </c>
      <c r="AN19" s="969">
        <f>IF(ISNUMBER(Datos!K19/Datos!J19),Datos!K19/Datos!J19," - ")</f>
        <v>0.89355742296918772</v>
      </c>
      <c r="AO19" s="969">
        <f>IF(ISNUMBER(FIND("06",Criterios!A8,1)),(IF(ISNUMBER(((Datos!R19/Datos!Q19)*11)/factor_trimestre),((Datos!R19/Datos!Q19)*11)/factor_trimestre," - ")),(IF(ISNUMBER(((Datos!L19/Datos!K19)*11)/factor_trimestre),((Datos!L19/Datos!K19)*11)/factor_trimestre," - ")))</f>
        <v>9.3510971786833874</v>
      </c>
      <c r="AP19" s="980" t="str">
        <f>IF(ISNUMBER(Datos!CI19/Datos!CJ19),Datos!CI19/Datos!CJ19," - ")</f>
        <v xml:space="preserve"> - </v>
      </c>
      <c r="AQ19" s="980">
        <f>IF(OR(ISNUMBER(FIND("01",Criterios!A8,1)),ISNUMBER(FIND("02",Criterios!A8,1)),ISNUMBER(FIND("03",Criterios!A8,1)),ISNUMBER(FIND("04",Criterios!A8,1))),(J19-Y19+K19)/(F19-K19),(I19-Y19+K19)/(F19-K19))</f>
        <v>-0.43892508143322473</v>
      </c>
      <c r="AR19" s="980">
        <f>IF(ISNUMBER((Datos!P19-Datos!Q19+O19)/(Datos!R19-Datos!P19+Datos!Q19-O19)),(Datos!P19-Datos!Q19+O19)/(Datos!R19-Datos!P19+Datos!Q19-O19)," - ")</f>
        <v>-1.9035532994923859E-2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519.20000000000005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690.51092195079241</v>
      </c>
      <c r="G21" s="600">
        <f>IF(ISNUMBER(STDEV(G8:G18)),STDEV(G8:G18),"-")</f>
        <v>660.94568611951775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49.065942023634541</v>
      </c>
      <c r="AK21" s="256"/>
      <c r="AL21" s="256">
        <f>IF(ISNUMBER(STDEV(AL8:AL18)),STDEV(AL8:AL18),"-")</f>
        <v>0</v>
      </c>
      <c r="AM21" s="258">
        <f>IF(ISNUMBER(STDEV(AM8:AM18)),STDEV(AM8:AM18),"-")</f>
        <v>0</v>
      </c>
      <c r="AN21" s="586">
        <f>IF(ISNUMBER(STDEV(AN8:AN18)),STDEV(AN8:AN18),"-")</f>
        <v>0</v>
      </c>
      <c r="AO21" s="587">
        <f>IF(ISNUMBER(STDEV(AO8:AO18)),STDEV(AO8:AO18),"-")</f>
        <v>2.1547187476827925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JiTkvPFaSCK15+OTT5J7clOxX7zCjwQhZ8LmZdAlPp1RoXDeTflTcK0VoECwFdhpD7vs7CsaaJ99CjCsxo68A==" saltValue="gwl22ODsAZv79DDhTu9U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aiLTuQ71OYL2t+IWcYrXQdChG50SLwedrCAH9yMHU8odGQYgNBC0gLU6jYmQIqeGZBcvNQopzbds/ykJO5wmA==" saltValue="es4RYRqUnCBj+pqwRF2N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8+IRlzVyRItkYf/5mIrfNvZytnuaqDmR1/G/oda2fK0dn11zkkhRgYn+hvAGwF2gHzrACBbT8+L7z/NraGh4w==" saltValue="GAUReVdf81rdcBn7LXxE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NAVALMORAL DE LA MATA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0.21524663677130046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0.15220235648858424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muWG+/GV/LZP4KneEOUgY049pxGfY0fg0AA3Dmx5yNSBeC4PFxG2JMEUdP6A9z0E45Qtf8VxnMssZ5Z6t4Q4g==" saltValue="zPg12yQGpp/USTV7hMex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iztO33z9l2g/kPgYwDDGHIg4Iio1/0xMPUdh6ZnExcsfMFrajkKyopLpY9C3LIdZ8KqEAWXCKTYLMeMmMHxZw==" saltValue="2luRsJy/bCJIOKTziEG2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NAVALMORAL DE LA MATA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2</v>
      </c>
      <c r="F10" s="415">
        <f>IF(ISNUMBER(E10/B10),E10/B10," - ")</f>
        <v>2</v>
      </c>
      <c r="G10" s="414">
        <f>IF(ISNUMBER(Datos!K10),Datos!K10," - ")</f>
        <v>5</v>
      </c>
      <c r="H10" s="415">
        <f>IF(ISNUMBER(G10/B10),G10/B10," - ")</f>
        <v>5</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1597</v>
      </c>
      <c r="D12" s="415">
        <f>IF(ISNUMBER(C12/Datos!BH12),C12/Datos!BH12," - ")</f>
        <v>532.33333333333337</v>
      </c>
      <c r="E12" s="414">
        <f>IF(ISNUMBER(IF(J_V="SI",Datos!J12,Datos!J12+Datos!Z12)),IF(J_V="SI",Datos!J12,Datos!J12+Datos!Z12)," - ")</f>
        <v>573</v>
      </c>
      <c r="F12" s="415">
        <f>IF(ISNUMBER(E12/B12),E12/B12," - ")</f>
        <v>191</v>
      </c>
      <c r="G12" s="414">
        <f>IF(ISNUMBER(IF(J_V="SI",Datos!K12,Datos!K12+Datos!AA12)),IF(J_V="SI",Datos!K12,Datos!K12+Datos!AA12)," - ")</f>
        <v>441</v>
      </c>
      <c r="H12" s="415">
        <f>IF(ISNUMBER(G12/B12),G12/B12," - ")</f>
        <v>147</v>
      </c>
      <c r="I12" s="414">
        <f>IF(ISNUMBER(IF(J_V="SI",Datos!L12,Datos!L12+Datos!AB12)),IF(J_V="SI",Datos!L12,Datos!L12+Datos!AB12)," - ")</f>
        <v>1721</v>
      </c>
      <c r="J12" s="415">
        <f>IF(ISNUMBER(I12/B12),I12/B12," - ")</f>
        <v>573.66666666666663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1613</v>
      </c>
      <c r="D13" s="996" t="str">
        <f>IF(ISNUMBER(C13/Datos!BI13),C13/Datos!BI13," - ")</f>
        <v xml:space="preserve"> - </v>
      </c>
      <c r="E13" s="995">
        <f>SUBTOTAL(9,E8:E12)</f>
        <v>575</v>
      </c>
      <c r="F13" s="996">
        <f>IF(ISNUMBER(E13/B13),E13/B13," - ")</f>
        <v>191.66666666666666</v>
      </c>
      <c r="G13" s="995">
        <f>SUBTOTAL(9,G8:G12)</f>
        <v>446</v>
      </c>
      <c r="H13" s="996">
        <f>IF(ISNUMBER(G13/B13),G13/B13," - ")</f>
        <v>148.66666666666666</v>
      </c>
      <c r="I13" s="995">
        <f>SUBTOTAL(9,I8:I12)</f>
        <v>1734</v>
      </c>
      <c r="J13" s="996">
        <f>IF(ISNUMBER(I13/B13),I13/B13," - ")</f>
        <v>578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1202</v>
      </c>
      <c r="D16" s="415">
        <f>IF(ISNUMBER(C16/Datos!BH16),C16/Datos!BH16," - ")</f>
        <v>400.66666666666669</v>
      </c>
      <c r="E16" s="414">
        <f>IF(ISNUMBER(IF(D_I="SI",Datos!J16,Datos!J16+Datos!AD16)),IF(D_I="SI",Datos!J16,Datos!J16+Datos!AD16)," - ")</f>
        <v>534</v>
      </c>
      <c r="F16" s="415">
        <f>IF(ISNUMBER(E16/B16),E16/B16," - ")</f>
        <v>178</v>
      </c>
      <c r="G16" s="414">
        <f>IF(ISNUMBER(IF(D_I="SI",Datos!K16,Datos!K16+Datos!AE16)),IF(D_I="SI",Datos!K16,Datos!K16+Datos!AE16)," - ")</f>
        <v>504</v>
      </c>
      <c r="H16" s="415">
        <f>IF(ISNUMBER(G16/B16),G16/B16," - ")</f>
        <v>168</v>
      </c>
      <c r="I16" s="414">
        <f>IF(ISNUMBER(IF(D_I="SI",Datos!L16,Datos!L16+Datos!AF16)),IF(D_I="SI",Datos!L16,Datos!L16+Datos!AF16)," - ")</f>
        <v>1242</v>
      </c>
      <c r="J16" s="415">
        <f>IF(ISNUMBER(I16/B16),I16/B16," - ")</f>
        <v>414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80</v>
      </c>
      <c r="D17" s="415">
        <f>IF(ISNUMBER(C17/Datos!BH17),C17/Datos!BH17," - ")</f>
        <v>80</v>
      </c>
      <c r="E17" s="414">
        <f>IF(ISNUMBER(IF(D_I="SI",Datos!J17,Datos!J17+Datos!AD17)),IF(D_I="SI",Datos!J17,Datos!J17+Datos!AD17)," - ")</f>
        <v>6</v>
      </c>
      <c r="F17" s="415">
        <f>IF(ISNUMBER(E17/B17),E17/B17," - ")</f>
        <v>6</v>
      </c>
      <c r="G17" s="414">
        <f>IF(ISNUMBER(IF(D_I="SI",Datos!K17,Datos!K17+Datos!AE17)),IF(D_I="SI",Datos!K17,Datos!K17+Datos!AE17)," - ")</f>
        <v>30</v>
      </c>
      <c r="H17" s="415">
        <f>IF(ISNUMBER(G17/B17),G17/B17," - ")</f>
        <v>30</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1282</v>
      </c>
      <c r="D18" s="996" t="str">
        <f>IF(ISNUMBER(C18/Datos!BI18),C18/Datos!BI18," - ")</f>
        <v xml:space="preserve"> - </v>
      </c>
      <c r="E18" s="995">
        <f>SUBTOTAL(9,E14:E17)</f>
        <v>540</v>
      </c>
      <c r="F18" s="996">
        <f>IF(ISNUMBER(E18/B18),E18/B18," - ")</f>
        <v>180</v>
      </c>
      <c r="G18" s="995">
        <f>SUBTOTAL(9,G14:G17)</f>
        <v>534</v>
      </c>
      <c r="H18" s="996">
        <f>IF(ISNUMBER(G18/B18),G18/B18," - ")</f>
        <v>178</v>
      </c>
      <c r="I18" s="995">
        <f>SUBTOTAL(9,I14:I17)</f>
        <v>1317</v>
      </c>
      <c r="J18" s="996">
        <f>IF(ISNUMBER(I18/B18),I18/B18," - ")</f>
        <v>439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2895</v>
      </c>
      <c r="D19" s="941" t="str">
        <f>IF(ISNUMBER(C19/Datos!BI19),C19/Datos!BI19," - ")</f>
        <v xml:space="preserve"> - </v>
      </c>
      <c r="E19" s="940">
        <f>SUBTOTAL(9,E9:E18)</f>
        <v>1115</v>
      </c>
      <c r="F19" s="941">
        <f>IF(ISNUMBER(E19/B19),E19/B19," - ")</f>
        <v>371.66666666666669</v>
      </c>
      <c r="G19" s="940">
        <f>SUBTOTAL(9,G9:G18)</f>
        <v>980</v>
      </c>
      <c r="H19" s="941">
        <f>IF(ISNUMBER(G19/B19),G19/B19," - ")</f>
        <v>326.66666666666669</v>
      </c>
      <c r="I19" s="940">
        <f>SUBTOTAL(9,I9:I18)</f>
        <v>3051</v>
      </c>
      <c r="J19" s="941">
        <f>IF(ISNUMBER(I19/B19),I19/B19," - ")</f>
        <v>1017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O18yMAusgbgEXIhC26BSnvhL1b+gvh9R5HjIZTGBUjoFp1FKBQ6W70DeLCtRuPLljAYZHfyCzgca/CqH3NHfA==" saltValue="8NWOH7huQ3h/Unu/aS6j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NAVALMORAL DE LA MATA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7.8000000000000007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2221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96</v>
      </c>
      <c r="AM12" s="810">
        <f>IF(ISNUMBER(Datos!N12+DatosP!N16),Datos!N12+DatosP!N16," - ")</f>
        <v>232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11.70748299319728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-1.7256637168141593E-2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168</v>
      </c>
      <c r="AE13" s="1085">
        <f t="shared" si="1"/>
        <v>0</v>
      </c>
      <c r="AF13" s="1085">
        <f t="shared" si="1"/>
        <v>13</v>
      </c>
      <c r="AG13" s="1085">
        <f t="shared" si="1"/>
        <v>0</v>
      </c>
      <c r="AH13" s="1085">
        <f t="shared" si="1"/>
        <v>2221</v>
      </c>
      <c r="AI13" s="1085">
        <f t="shared" si="1"/>
        <v>0</v>
      </c>
      <c r="AJ13" s="1085">
        <f t="shared" si="1"/>
        <v>0</v>
      </c>
      <c r="AK13" s="1085">
        <f t="shared" si="1"/>
        <v>0</v>
      </c>
      <c r="AL13" s="1085">
        <f t="shared" si="1"/>
        <v>96</v>
      </c>
      <c r="AM13" s="1085">
        <f t="shared" si="1"/>
        <v>232</v>
      </c>
      <c r="AN13" s="1085">
        <f t="shared" si="1"/>
        <v>0</v>
      </c>
      <c r="AO13" s="1085">
        <f t="shared" si="1"/>
        <v>0</v>
      </c>
      <c r="AP13" s="1090">
        <f>IF(ISNUMBER(((Datos!L13/Datos!K13)*11)/factor_trimestre),((Datos!L13/Datos!K13)*11)/factor_trimestre," - ")</f>
        <v>11.815602836879433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-0.3125</v>
      </c>
      <c r="AU13" s="1085" t="str">
        <f>IF(ISNUMBER((DatosP!#REF!-DatosP!#REF!+DatosP!#REF!)/(DatosP!#REF!+DatosP!#REF!-DatosP!#REF!-DatosP!#REF!)),(DatosP!#REF!-DatosP!#REF!+DatosP!#REF!)/(DatosP!#REF!+DatosP!#REF!-DatosP!#REF!-DatosP!#REF!)," - ")</f>
        <v xml:space="preserve"> - </v>
      </c>
      <c r="AV13" s="1091">
        <f>SUBTOTAL(9,AV9:AV12)</f>
        <v>-1.7256637168141593E-2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7.3988764044943824</v>
      </c>
      <c r="AQ18" s="1090">
        <f>IF(ISNUMBER(((Datos!M18/Datos!L18)*11)/factor_trimestre),((Datos!M18/Datos!L18)*11)/factor_trimestre," - ")</f>
        <v>0.21412300683371299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-5.8562555456965391E-2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168</v>
      </c>
      <c r="AE19" s="1103">
        <f t="shared" si="5"/>
        <v>0</v>
      </c>
      <c r="AF19" s="1104">
        <f t="shared" si="5"/>
        <v>13</v>
      </c>
      <c r="AG19" s="1104">
        <f t="shared" si="5"/>
        <v>0</v>
      </c>
      <c r="AH19" s="1104">
        <f t="shared" si="5"/>
        <v>2221</v>
      </c>
      <c r="AI19" s="1104">
        <f t="shared" si="5"/>
        <v>0</v>
      </c>
      <c r="AJ19" s="1105">
        <f t="shared" si="5"/>
        <v>0</v>
      </c>
      <c r="AK19" s="1105">
        <f t="shared" si="5"/>
        <v>0</v>
      </c>
      <c r="AL19" s="1097">
        <f t="shared" si="5"/>
        <v>96</v>
      </c>
      <c r="AM19" s="1097">
        <f t="shared" si="5"/>
        <v>232</v>
      </c>
      <c r="AN19" s="1097">
        <f t="shared" si="5"/>
        <v>0</v>
      </c>
      <c r="AO19" s="1097">
        <f t="shared" si="5"/>
        <v>0</v>
      </c>
      <c r="AP19" s="1097">
        <f>IF(ISNUMBER(((Datos!L19/Datos!K19)*11)/factor_trimestre),((Datos!L19/Datos!K19)*11)/factor_trimestre," - ")</f>
        <v>9.3510971786833874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-1.9035532994923859E-2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55.42562584220407</v>
      </c>
      <c r="AM21" s="869"/>
      <c r="AN21" s="869">
        <f>IF(ISNUMBER(STDEV(AN8:AN18)),STDEV(AN8:AN18),"-")</f>
        <v>0</v>
      </c>
      <c r="AO21" s="875">
        <f>IF(ISNUMBER(STDEV(AO8:AO18)),STDEV(AO8:AO18),"-")</f>
        <v>0</v>
      </c>
      <c r="AP21" s="922">
        <f>IF(ISNUMBER(STDEV(AP8:AP18)),STDEV(AP8:AP18),"-")</f>
        <v>2.4089700883692355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iaIJjGI/AIwHBNIBahBXsmAp4SUv/LeTdrC02XY4ndocNGwL3VQ23/uIqL6bbH3gFg32h9YZ3QknIiQzTfPUQ==" saltValue="6F1b5HTJ/YrzmzFFEF4L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NAVALMORAL DE LA MATA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4zMlteiiZKlBz5ZXz3fq3FpFcw0rvhUnSk0KRcrld5vVUI0dnuKkxN8xWcxP5IVzA98p9Fmf1GwbOldc5fd9Q==" saltValue="aNymeUyX2LT1JcLNQLYv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NAVALMORAL DE LA MATA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96</v>
      </c>
      <c r="E12" s="415">
        <f t="shared" si="0"/>
        <v>32</v>
      </c>
      <c r="F12" s="414">
        <f>IF(ISNUMBER(Datos!N12),Datos!N12," - ")</f>
        <v>232</v>
      </c>
      <c r="G12" s="415">
        <f t="shared" si="1"/>
        <v>77.333333333333329</v>
      </c>
      <c r="H12" s="414">
        <f>IF(ISNUMBER(Datos!O12),Datos!O12," - ")</f>
        <v>223</v>
      </c>
      <c r="I12" s="415">
        <f t="shared" si="2"/>
        <v>74.333333333333329</v>
      </c>
    </row>
    <row r="13" spans="1:9" ht="14.25" thickTop="1" thickBot="1">
      <c r="A13" s="994" t="str">
        <f>Datos!A13</f>
        <v>TOTAL</v>
      </c>
      <c r="B13" s="995">
        <f>Datos!AO13</f>
        <v>4</v>
      </c>
      <c r="C13" s="997">
        <f>Datos!AR13</f>
        <v>3</v>
      </c>
      <c r="D13" s="995">
        <f>SUBTOTAL(9,D9:D12)</f>
        <v>96</v>
      </c>
      <c r="E13" s="996">
        <f t="shared" si="0"/>
        <v>24</v>
      </c>
      <c r="F13" s="995">
        <f>SUBTOTAL(9,F9:F12)</f>
        <v>232</v>
      </c>
      <c r="G13" s="996">
        <f t="shared" si="1"/>
        <v>58</v>
      </c>
      <c r="H13" s="995">
        <f>SUBTOTAL(9,H9:H12)</f>
        <v>223</v>
      </c>
      <c r="I13" s="996">
        <f>IF(ISNUMBER(H13/B13),H13/B13," - ")</f>
        <v>55.75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94</v>
      </c>
      <c r="E16" s="415">
        <f t="shared" si="3"/>
        <v>31.333333333333332</v>
      </c>
      <c r="F16" s="414">
        <f>IF(ISNUMBER(Datos!N16),Datos!N16," - ")</f>
        <v>200</v>
      </c>
      <c r="G16" s="415">
        <f t="shared" si="4"/>
        <v>66.666666666666671</v>
      </c>
      <c r="H16" s="414">
        <f>IF(ISNUMBER(Datos!O16),Datos!O16," - ")</f>
        <v>8</v>
      </c>
      <c r="I16" s="415">
        <f t="shared" si="5"/>
        <v>2.6666666666666665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4</v>
      </c>
      <c r="C18" s="997">
        <f>Datos!AR18</f>
        <v>3</v>
      </c>
      <c r="D18" s="995">
        <f>SUBTOTAL(9,D15:D17)</f>
        <v>94</v>
      </c>
      <c r="E18" s="996">
        <f t="shared" si="3"/>
        <v>23.5</v>
      </c>
      <c r="F18" s="995">
        <f>SUBTOTAL(9,F15:F17)</f>
        <v>213</v>
      </c>
      <c r="G18" s="996">
        <f t="shared" si="4"/>
        <v>53.25</v>
      </c>
      <c r="H18" s="995">
        <f>SUBTOTAL(9,H15:H17)</f>
        <v>8</v>
      </c>
      <c r="I18" s="996">
        <f>IF(ISNUMBER(H18/B18),H18/B18," - ")</f>
        <v>2</v>
      </c>
    </row>
    <row r="19" spans="1:9" ht="14.25" thickTop="1" thickBot="1">
      <c r="A19" s="939" t="str">
        <f>Datos!A19</f>
        <v>TOTAL JURISDICCIONES</v>
      </c>
      <c r="B19" s="940">
        <f>Datos!AP19</f>
        <v>3</v>
      </c>
      <c r="C19" s="940">
        <f>Datos!AR19</f>
        <v>3</v>
      </c>
      <c r="D19" s="940">
        <f>SUBTOTAL(9,D8:D18)</f>
        <v>190</v>
      </c>
      <c r="E19" s="941">
        <f>IF(ISNUMBER(D19/B19),D19/B19," - ")</f>
        <v>63.333333333333336</v>
      </c>
      <c r="F19" s="940">
        <f>SUBTOTAL(9,F8:F18)</f>
        <v>445</v>
      </c>
      <c r="G19" s="941">
        <f>IF(ISNUMBER(F19/B19),F19/B19," - ")</f>
        <v>148.33333333333334</v>
      </c>
      <c r="H19" s="940">
        <f>SUBTOTAL(9,H8:H18)</f>
        <v>231</v>
      </c>
      <c r="I19" s="941">
        <f>IF(ISNUMBER(H19/B19),H19/B19," - ")</f>
        <v>77</v>
      </c>
    </row>
    <row r="22" spans="1:9">
      <c r="A22" s="402" t="str">
        <f>Criterios!A4</f>
        <v>Fecha Informe: 06 oct. 2023</v>
      </c>
    </row>
    <row r="27" spans="1:9">
      <c r="A27" s="425"/>
    </row>
  </sheetData>
  <sheetProtection algorithmName="SHA-512" hashValue="WPekC0b6Y5Cev0zMKOY5kVo4wRkS8Gd+vsqFWkbTWWnx/WE9rP1CNRC5tkB2CGRiHO3OkMg/wxr9vGeyB2abwA==" saltValue="5RXC0KOJ6zKf1kqknOfn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NAVALMORAL DE LA MATA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7</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129</v>
      </c>
      <c r="C12" s="450">
        <f>IF(ISNUMBER(Datos!Q12),Datos!Q12," - ")</f>
        <v>168</v>
      </c>
      <c r="D12" s="419">
        <f>IF(ISNUMBER(Datos!R12),Datos!R12," - ")</f>
        <v>2221</v>
      </c>
    </row>
    <row r="13" spans="1:4" ht="14.25" thickTop="1" thickBot="1">
      <c r="A13" s="994" t="str">
        <f>Datos!A13</f>
        <v>TOTAL</v>
      </c>
      <c r="B13" s="995">
        <f>SUBTOTAL(9,B9:B12)</f>
        <v>130</v>
      </c>
      <c r="C13" s="999">
        <f>SUBTOTAL(9,C9:C12)</f>
        <v>175</v>
      </c>
      <c r="D13" s="997">
        <f>SUBTOTAL(9,D9:D12)</f>
        <v>2240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13</v>
      </c>
      <c r="D16" s="419">
        <f>IF(ISNUMBER(Datos!R16),Datos!R16," - ")</f>
        <v>79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13</v>
      </c>
      <c r="D18" s="997">
        <f>SUBTOTAL(9,D15:D17)</f>
        <v>79</v>
      </c>
    </row>
    <row r="19" spans="1:4" ht="16.5" customHeight="1" thickTop="1" thickBot="1">
      <c r="A19" s="939" t="str">
        <f>Datos!A19</f>
        <v>TOTAL JURISDICCIONES</v>
      </c>
      <c r="B19" s="944">
        <f>SUBTOTAL(9,B8:B18)</f>
        <v>143</v>
      </c>
      <c r="C19" s="945">
        <f>SUBTOTAL(9,C8:C18)</f>
        <v>188</v>
      </c>
      <c r="D19" s="946">
        <f>SUBTOTAL(9,D8:D18)</f>
        <v>2319</v>
      </c>
    </row>
    <row r="20" spans="1:4" ht="7.5" customHeight="1"/>
    <row r="21" spans="1:4" ht="6" customHeight="1"/>
    <row r="22" spans="1:4">
      <c r="A22" s="402" t="str">
        <f>Criterios!A4</f>
        <v>Fecha Informe: 06 oct. 2023</v>
      </c>
    </row>
    <row r="27" spans="1:4">
      <c r="A27" s="425"/>
    </row>
  </sheetData>
  <sheetProtection algorithmName="SHA-512" hashValue="vtCfKWm3Kv219LN1766cwA5XANCb/DCsUT0EEYpN9Xut5ouET82cxAfpAXzw/hU0s4G3WKuNkkvGlljnfX13og==" saltValue="pijrgnH93pYyk+0LqrD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NAVALMORAL DE LA MATA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-0.6</v>
      </c>
      <c r="D10" s="472">
        <f>IF(ISNUMBER((Datos!K10-Datos!U10)/Datos!U10),(Datos!K10-Datos!U10)/Datos!U10," - ")</f>
        <v>-0.16666666666666666</v>
      </c>
      <c r="E10" s="472">
        <f>IF(ISNUMBER((Datos!L10-Datos!V10)/Datos!V10),(Datos!L10-Datos!V10)/Datos!V10," - ")</f>
        <v>-0.13333333333333333</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1.0833333333333335</v>
      </c>
      <c r="I10" s="472">
        <f>IF(ISNUMBER(((NºAsuntos!I10/NºAsuntos!G10)-Datos!BE10)/Datos!BE10),((NºAsuntos!I10/NºAsuntos!G10)-Datos!BE10)/Datos!BE10," - ")</f>
        <v>4.0000000000000036E-2</v>
      </c>
      <c r="J10" s="477">
        <f>IF(ISNUMBER((('Resol  Asuntos'!D10/NºAsuntos!G10)-Datos!BF10)/Datos!BF10),(('Resol  Asuntos'!D10/NºAsuntos!G10)-Datos!BF10)/Datos!BF10," - ")</f>
        <v>-1</v>
      </c>
      <c r="K10" s="478">
        <f>IF(ISNUMBER((((NºAsuntos!C10+NºAsuntos!E10)/NºAsuntos!G10)-Datos!BG10)/Datos!BG10),(((NºAsuntos!C10+NºAsuntos!E10)/NºAsuntos!G10)-Datos!BG10)/Datos!BG10," - ")</f>
        <v>2.8571428571428598E-2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0.16825164594001463</v>
      </c>
      <c r="C12" s="472">
        <f>IF(ISNUMBER(
   IF(J_V="SI",(Datos!J12-Datos!T12)/Datos!T12,(Datos!J12+Datos!Z12-(Datos!T12+Datos!AH12))/(Datos!T12+Datos!AH12))
     ),IF(J_V="SI",(Datos!J12-Datos!T12)/Datos!T12,(Datos!J12+Datos!Z12-(Datos!T12+Datos!AH12))/(Datos!T12+Datos!AH12))," - ")</f>
        <v>0.22435897435897437</v>
      </c>
      <c r="D12" s="472">
        <f>IF(ISNUMBER(
   IF(J_V="SI",(Datos!K12-Datos!U12)/Datos!U12,(Datos!K12+Datos!AA12-(Datos!U12+Datos!AI12))/(Datos!U12+Datos!AI12))
     ),IF(J_V="SI",(Datos!K12-Datos!U12)/Datos!U12,(Datos!K12+Datos!AA12-(Datos!U12+Datos!AI12))/(Datos!U12+Datos!AI12))," - ")</f>
        <v>-0.19082568807339451</v>
      </c>
      <c r="E12" s="472">
        <f>IF(ISNUMBER(
   IF(J_V="SI",(Datos!L12-Datos!V12)/Datos!V12,(Datos!L12+Datos!AB12-(Datos!V12+Datos!AJ12))/(Datos!V12+Datos!AJ12))
     ),IF(J_V="SI",(Datos!L12-Datos!V12)/Datos!V12,(Datos!L12+Datos!AB12-(Datos!V12+Datos!AJ12))/(Datos!V12+Datos!AJ12))," - ")</f>
        <v>0.33410852713178296</v>
      </c>
      <c r="F12" s="472">
        <f>IF(ISNUMBER((Datos!M12-Datos!W12)/Datos!W12),(Datos!M12-Datos!W12)/Datos!W12," - ")</f>
        <v>-0.2</v>
      </c>
      <c r="G12" s="473">
        <f>IF(ISNUMBER((Datos!N12-Datos!X12)/Datos!X12),(Datos!N12-Datos!X12)/Datos!X12," - ")</f>
        <v>9.4339622641509441E-2</v>
      </c>
      <c r="H12" s="471">
        <f>IF(ISNUMBER(((NºAsuntos!G12/NºAsuntos!E12)-Datos!BD12)/Datos!BD12),((NºAsuntos!G12/NºAsuntos!E12)-Datos!BD12)/Datos!BD12," - ")</f>
        <v>-0.33910370334790341</v>
      </c>
      <c r="I12" s="472">
        <f>IF(ISNUMBER(((NºAsuntos!I12/NºAsuntos!G12)-Datos!BE12)/Datos!BE12),((NºAsuntos!I12/NºAsuntos!G12)-Datos!BE12)/Datos!BE12," - ")</f>
        <v>0.64872822514018524</v>
      </c>
      <c r="J12" s="477">
        <f>IF(ISNUMBER((('Resol  Asuntos'!D12/NºAsuntos!G12)-Datos!BF12)/Datos!BF12),(('Resol  Asuntos'!D12/NºAsuntos!G12)-Datos!BF12)/Datos!BF12," - ")</f>
        <v>-0.44037992555512778</v>
      </c>
      <c r="K12" s="478">
        <f>IF(ISNUMBER((((NºAsuntos!C12+NºAsuntos!E12)/NºAsuntos!G12)-Datos!BG12)/Datos!BG12),(((NºAsuntos!C12+NºAsuntos!E12)/NºAsuntos!G12)-Datos!BG12)/Datos!BG12," - ")</f>
        <v>0.46144197915315088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0.16630513376717282</v>
      </c>
      <c r="C13" s="1001">
        <f>IF(ISNUMBER(
   IF(J_V="SI",(Datos!J13-Datos!T13)/Datos!T13,(Datos!J13+Datos!Z13-(Datos!T13+Datos!AH13))/(Datos!T13+Datos!AH13))
     ),IF(J_V="SI",(Datos!J13-Datos!T13)/Datos!T13,(Datos!J13+Datos!Z13-(Datos!T13+Datos!AH13))/(Datos!T13+Datos!AH13))," - ")</f>
        <v>0.21564482029598309</v>
      </c>
      <c r="D13" s="1001">
        <f>IF(ISNUMBER(
   IF(J_V="SI",(Datos!K13-Datos!U13)/Datos!U13,(Datos!K13+Datos!AA13-(Datos!U13+Datos!AI13))/(Datos!U13+Datos!AI13))
     ),IF(J_V="SI",(Datos!K13-Datos!U13)/Datos!U13,(Datos!K13+Datos!AA13-(Datos!U13+Datos!AI13))/(Datos!U13+Datos!AI13))," - ")</f>
        <v>-0.19056261343012704</v>
      </c>
      <c r="E13" s="1001">
        <f>IF(ISNUMBER(
   IF(J_V="SI",(Datos!L13-Datos!V13)/Datos!V13,(Datos!L13+Datos!AB13-(Datos!V13+Datos!AJ13))/(Datos!V13+Datos!AJ13))
     ),IF(J_V="SI",(Datos!L13-Datos!V13)/Datos!V13,(Datos!L13+Datos!AB13-(Datos!V13+Datos!AJ13))/(Datos!V13+Datos!AJ13))," - ")</f>
        <v>0.32873563218390806</v>
      </c>
      <c r="F13" s="1002">
        <f>IF(ISNUMBER((Datos!M13-Datos!W13)/Datos!W13),(Datos!M13-Datos!W13)/Datos!W13," - ")</f>
        <v>-0.21311475409836064</v>
      </c>
      <c r="G13" s="1003">
        <f>IF(ISNUMBER((Datos!N13-Datos!X13)/Datos!X13),(Datos!N13-Datos!X13)/Datos!X13," - ")</f>
        <v>8.4112149532710276E-2</v>
      </c>
      <c r="H13" s="1003">
        <f>IF(ISNUMBER(((NºAsuntos!G13/NºAsuntos!E13)-Datos!BD13)/Datos!BD13),((NºAsuntos!G13/NºAsuntos!E13)-Datos!BD13)/Datos!BD13," - ")</f>
        <v>-0.33414976722165235</v>
      </c>
      <c r="I13" s="1003">
        <f>IF(ISNUMBER(((NºAsuntos!I13/NºAsuntos!G13)-Datos!BE13)/Datos!BE13),((NºAsuntos!I13/NºAsuntos!G13)-Datos!BE13)/Datos!BE13," - ")</f>
        <v>0.64155455904334835</v>
      </c>
      <c r="J13" s="1003">
        <f>IF(ISNUMBER((('Resol  Asuntos'!D13/NºAsuntos!G13)-Datos!BF13)/Datos!BF13),(('Resol  Asuntos'!D13/NºAsuntos!G13)-Datos!BF13)/Datos!BF13," - ")</f>
        <v>-0.44579020158417493</v>
      </c>
      <c r="K13" s="1003">
        <f>IF(ISNUMBER((((NºAsuntos!C13+NºAsuntos!E13)/NºAsuntos!G13)-Datos!BG13)/Datos!BG13),(((NºAsuntos!C13+NºAsuntos!E13)/NºAsuntos!G13)-Datos!BG13)/Datos!BG13," - ")</f>
        <v>0.45641816143497776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0.24173553719008264</v>
      </c>
      <c r="C16" s="472">
        <f>IF(ISNUMBER(
   IF(D_I="SI",(Datos!J16-Datos!T16)/Datos!T16,(Datos!J16+Datos!AD16-(Datos!T16+Datos!AL16))/(Datos!T16+Datos!AL16))
     ),IF(D_I="SI",(Datos!J16-Datos!T16)/Datos!T16,(Datos!J16+Datos!AD16-(Datos!T16+Datos!AL16))/(Datos!T16+Datos!AL16))," - ")</f>
        <v>-0.28799999999999998</v>
      </c>
      <c r="D16" s="472">
        <f>IF(ISNUMBER(
   IF(D_I="SI",(Datos!K16-Datos!U16)/Datos!U16,(Datos!K16+Datos!AE16-(Datos!U16+Datos!AM16))/(Datos!U16+Datos!AM16))
     ),IF(D_I="SI",(Datos!K16-Datos!U16)/Datos!U16,(Datos!K16+Datos!AE16-(Datos!U16+Datos!AM16))/(Datos!U16+Datos!AM16))," - ")</f>
        <v>-0.2769010043041607</v>
      </c>
      <c r="E16" s="472">
        <f>IF(ISNUMBER(
   IF(D_I="SI",(Datos!L16-Datos!V16)/Datos!V16,(Datos!L16+Datos!AF16-(Datos!V16+Datos!AN16))/(Datos!V16+Datos!AN16))
     ),IF(D_I="SI",(Datos!L16-Datos!V16)/Datos!V16,(Datos!L16+Datos!AF16-(Datos!V16+Datos!AN16))/(Datos!V16+Datos!AN16))," - ")</f>
        <v>0.21645445641527913</v>
      </c>
      <c r="F16" s="472">
        <f>IF(ISNUMBER((Datos!M16-Datos!W16)/Datos!W16),(Datos!M16-Datos!W16)/Datos!W16," - ")</f>
        <v>-3.0927835051546393E-2</v>
      </c>
      <c r="G16" s="473">
        <f>IF(ISNUMBER((Datos!N16-Datos!X16)/Datos!X16),(Datos!N16-Datos!X16)/Datos!X16," - ")</f>
        <v>-0.45504087193460491</v>
      </c>
      <c r="H16" s="471">
        <f>IF(ISNUMBER(((NºAsuntos!G16/NºAsuntos!E16)-Datos!BD16)/Datos!BD16),((NºAsuntos!G16/NºAsuntos!E16)-Datos!BD16)/Datos!BD16," - ")</f>
        <v>1.5588477100897868E-2</v>
      </c>
      <c r="I16" s="472">
        <f>IF(ISNUMBER(((NºAsuntos!I16/NºAsuntos!G16)-Datos!BE16)/Datos!BE16),((NºAsuntos!I16/NºAsuntos!G16)-Datos!BE16)/Datos!BE16," - ")</f>
        <v>0.68227927801874921</v>
      </c>
      <c r="J16" s="477">
        <f>IF(ISNUMBER((('Resol  Asuntos'!D16/NºAsuntos!G16)-Datos!BF16)/Datos!BF16),(('Resol  Asuntos'!D16/NºAsuntos!G16)-Datos!BF16)/Datos!BF16," - ")</f>
        <v>0.34016527573228611</v>
      </c>
      <c r="K16" s="478">
        <f>IF(ISNUMBER((((NºAsuntos!C16+NºAsuntos!E16)/NºAsuntos!G16)-Datos!BG16)/Datos!BG16),(((NºAsuntos!C16+NºAsuntos!E16)/NºAsuntos!G16)-Datos!BG16)/Datos!BG16," - ")</f>
        <v>0.39742594748415477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-0.13978494623655913</v>
      </c>
      <c r="C17" s="472">
        <f>IF(ISNUMBER(
   IF(D_I="SI",(Datos!J17-Datos!T17)/Datos!T17,(Datos!J17+Datos!AD17-(Datos!T17+Datos!AL17))/(Datos!T17+Datos!AL17))
     ),IF(D_I="SI",(Datos!J17-Datos!T17)/Datos!T17,(Datos!J17+Datos!AD17-(Datos!T17+Datos!AL17))/(Datos!T17+Datos!AL17))," - ")</f>
        <v>-0.92307692307692313</v>
      </c>
      <c r="D17" s="472">
        <f>IF(ISNUMBER(
   IF(D_I="SI",(Datos!K17-Datos!U17)/Datos!U17,(Datos!K17+Datos!AE17-(Datos!U17+Datos!AM17))/(Datos!U17+Datos!AM17))
     ),IF(D_I="SI",(Datos!K17-Datos!U17)/Datos!U17,(Datos!K17+Datos!AE17-(Datos!U17+Datos!AM17))/(Datos!U17+Datos!AM17))," - ")</f>
        <v>-0.58333333333333337</v>
      </c>
      <c r="E17" s="472">
        <f>IF(ISNUMBER(
   IF(D_I="SI",(Datos!L17-Datos!V17)/Datos!V17,(Datos!L17+Datos!AF17-(Datos!V17+Datos!AN17))/(Datos!V17+Datos!AN17))
     ),IF(D_I="SI",(Datos!L17-Datos!V17)/Datos!V17,(Datos!L17+Datos!AF17-(Datos!V17+Datos!AN17))/(Datos!V17+Datos!AN17))," - ")</f>
        <v>-0.24242424242424243</v>
      </c>
      <c r="F17" s="472">
        <f>IF(ISNUMBER((Datos!M17-Datos!W17)/Datos!W17),(Datos!M17-Datos!W17)/Datos!W17," - ")</f>
        <v>-1</v>
      </c>
      <c r="G17" s="473">
        <f>IF(ISNUMBER((Datos!N17-Datos!X17)/Datos!X17),(Datos!N17-Datos!X17)/Datos!X17," - ")</f>
        <v>-0.48</v>
      </c>
      <c r="H17" s="471">
        <f>IF(ISNUMBER(((NºAsuntos!G17/NºAsuntos!E17)-Datos!BD17)/Datos!BD17),((NºAsuntos!G17/NºAsuntos!E17)-Datos!BD17)/Datos!BD17," - ")</f>
        <v>4.4166666666666661</v>
      </c>
      <c r="I17" s="472">
        <f>IF(ISNUMBER(((NºAsuntos!I17/NºAsuntos!G17)-Datos!BE17)/Datos!BE17),((NºAsuntos!I17/NºAsuntos!G17)-Datos!BE17)/Datos!BE17," - ")</f>
        <v>0.81818181818181823</v>
      </c>
      <c r="J17" s="477">
        <f>IF(ISNUMBER((('Resol  Asuntos'!D17/NºAsuntos!G17)-Datos!BF17)/Datos!BF17),(('Resol  Asuntos'!D17/NºAsuntos!G17)-Datos!BF17)/Datos!BF17," - ")</f>
        <v>-1</v>
      </c>
      <c r="K17" s="478">
        <f>IF(ISNUMBER((((NºAsuntos!C17+NºAsuntos!E17)/NºAsuntos!G17)-Datos!BG17)/Datos!BG17),(((NºAsuntos!C17+NºAsuntos!E17)/NºAsuntos!G17)-Datos!BG17)/Datos!BG17," - ")</f>
        <v>0.20701754385964913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0.20829406220546653</v>
      </c>
      <c r="C18" s="1001">
        <f>IF(ISNUMBER(
   IF(Criterios!B14="SI",(Datos!J18-Datos!T18)/Datos!T18,(Datos!J18+Datos!AD18-(Datos!T18+Datos!AL18))/(Datos!T18+Datos!AL18))
     ),IF(Criterios!B14="SI",(Datos!J18-Datos!T18)/Datos!T18,(Datos!J18+Datos!AD18-(Datos!T18+Datos!AL18))/(Datos!T18+Datos!AL18))," - ")</f>
        <v>-0.34782608695652173</v>
      </c>
      <c r="D18" s="1001">
        <f>IF(ISNUMBER(
   IF(Criterios!B14="SI",(Datos!K18-Datos!U18)/Datos!U18,(Datos!K18+Datos!AE18-(Datos!U18+Datos!AM18))/(Datos!U18+Datos!AM18))
     ),IF(Criterios!B14="SI",(Datos!K18-Datos!U18)/Datos!U18,(Datos!K18+Datos!AE18-(Datos!U18+Datos!AM18))/(Datos!U18+Datos!AM18))," - ")</f>
        <v>-0.305591677503251</v>
      </c>
      <c r="E18" s="1001">
        <f>IF(ISNUMBER(
   IF(Criterios!B14="SI",(Datos!L18-Datos!V18)/Datos!V18,(Datos!L18+Datos!AF18-(Datos!V18+Datos!AN18))/(Datos!V18+Datos!AN18))
     ),IF(Criterios!B14="SI",(Datos!L18-Datos!V18)/Datos!V18,(Datos!L18+Datos!AF18-(Datos!V18+Datos!AN18))/(Datos!V18+Datos!AN18))," - ")</f>
        <v>0.17589285714285716</v>
      </c>
      <c r="F18" s="1002">
        <f>IF(ISNUMBER((Datos!M18-Datos!W18)/Datos!W18),(Datos!M18-Datos!W18)/Datos!W18," - ")</f>
        <v>-5.0505050505050504E-2</v>
      </c>
      <c r="G18" s="1003">
        <f>IF(ISNUMBER((Datos!N18-Datos!X18)/Datos!X18),(Datos!N18-Datos!X18)/Datos!X18," - ")</f>
        <v>-0.45663265306122447</v>
      </c>
      <c r="H18" s="1003">
        <f>IF(ISNUMBER(((NºAsuntos!G18/NºAsuntos!E18)-Datos!BD18)/Datos!BD18),((NºAsuntos!G18/NºAsuntos!E18)-Datos!BD18)/Datos!BD18," - ")</f>
        <v>6.4759427828348523E-2</v>
      </c>
      <c r="I18" s="1003">
        <f>IF(ISNUMBER(((NºAsuntos!I18/NºAsuntos!G18)-Datos!BE18)/Datos!BE18),((NºAsuntos!I18/NºAsuntos!G18)-Datos!BE18)/Datos!BE18," - ")</f>
        <v>0.69337379614767281</v>
      </c>
      <c r="J18" s="1003">
        <f>IF(ISNUMBER((('Resol  Asuntos'!D18/NºAsuntos!G18)-Datos!BF18)/Datos!BF18),(('Resol  Asuntos'!D18/NºAsuntos!G18)-Datos!BF18)/Datos!BF18," - ")</f>
        <v>0.36734385048991797</v>
      </c>
      <c r="K18" s="1003">
        <f>IF(ISNUMBER((((NºAsuntos!C18+NºAsuntos!E18)/NºAsuntos!G18)-Datos!BG18)/Datos!BG18),(((NºAsuntos!C18+NºAsuntos!E18)/NºAsuntos!G18)-Datos!BG18)/Datos!BG18," - ")</f>
        <v>0.38899760688234464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0.18453355155482815</v>
      </c>
      <c r="C19" s="948">
        <f>IF(ISNUMBER(
   IF(J_V="SI",(Datos!J19-Datos!T19)/Datos!T19,(Datos!J19+Datos!Z19-(Datos!T19+Datos!AH19))/(Datos!T19+Datos!AH19))
     ),IF(J_V="SI",(Datos!J19-Datos!T19)/Datos!T19,(Datos!J19+Datos!Z19-(Datos!T19+Datos!AH19))/(Datos!T19+Datos!AH19))," - ")</f>
        <v>-0.14296694850115296</v>
      </c>
      <c r="D19" s="948">
        <f>IF(ISNUMBER(
   IF(J_V="SI",(Datos!K19-Datos!U19)/Datos!U19,(Datos!K19+Datos!AA19-(Datos!U19+Datos!AI19))/(Datos!U19+Datos!AI19))
     ),IF(J_V="SI",(Datos!K19-Datos!U19)/Datos!U19,(Datos!K19+Datos!AA19-(Datos!U19+Datos!AI19))/(Datos!U19+Datos!AI19))," - ")</f>
        <v>-0.25757575757575757</v>
      </c>
      <c r="E19" s="948">
        <f>IF(ISNUMBER(
   IF(J_V="SI",(Datos!L19-Datos!V19)/Datos!V19,(Datos!L19+Datos!AB19-(Datos!V19+Datos!AJ19))/(Datos!V19+Datos!AJ19))
     ),IF(J_V="SI",(Datos!L19-Datos!V19)/Datos!V19,(Datos!L19+Datos!AB19-(Datos!V19+Datos!AJ19))/(Datos!V19+Datos!AJ19))," - ")</f>
        <v>0.25814432989690722</v>
      </c>
      <c r="F19" s="949">
        <f>IF(ISNUMBER((Datos!M19-Datos!W19)/Datos!W19),(Datos!M19-Datos!W19)/Datos!W19," - ")</f>
        <v>-0.14027149321266968</v>
      </c>
      <c r="G19" s="950">
        <f>IF(ISNUMBER((Datos!N19-Datos!X19)/Datos!X19),(Datos!N19-Datos!X19)/Datos!X19," - ")</f>
        <v>-0.26567656765676567</v>
      </c>
      <c r="H19" s="951">
        <f>IF(ISNUMBER((Tasas!B19-Datos!BD19)/Datos!BD19),(Tasas!B19-Datos!BD19)/Datos!BD19," - ")</f>
        <v>-0.13372740861530105</v>
      </c>
      <c r="I19" s="952">
        <f>IF(ISNUMBER((Tasas!C19-Datos!BE19)/Datos!BE19),(Tasas!C19-Datos!BE19)/Datos!BE19," - ")</f>
        <v>0.69464338312644636</v>
      </c>
      <c r="J19" s="953">
        <f>IF(ISNUMBER((Tasas!D19-Datos!BF19)/Datos!BF19),(Tasas!D19-Datos!BF19)/Datos!BF19," - ")</f>
        <v>-0.18236943339636177</v>
      </c>
      <c r="K19" s="953">
        <f>IF(ISNUMBER((Tasas!E19-Datos!BG19)/Datos!BG19),(Tasas!E19-Datos!BG19)/Datos!BG19," - ")</f>
        <v>0.44224952998555922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KTqMOpBYNmkiMQODiCl30PMpVNFjPTEQkvUv3BPjLQtIgUgmz7CAYT6S+/I+Zq8jG8hQB7My5h853O40QusmQ==" saltValue="OLkx0kJKW5IxnjteImeU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NAVALMORAL DE LA MATA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2.5</v>
      </c>
      <c r="C10" s="459">
        <f>IF(ISNUMBER(NºAsuntos!I10/NºAsuntos!G10),NºAsuntos!I10/NºAsuntos!G10," - ")</f>
        <v>2.6</v>
      </c>
      <c r="D10" s="460">
        <f>IF(ISNUMBER('Resol  Asuntos'!D10/NºAsuntos!G10),'Resol  Asuntos'!D10/NºAsuntos!G10," - ")</f>
        <v>0</v>
      </c>
      <c r="E10" s="461">
        <f>IF(ISNUMBER((NºAsuntos!C10+NºAsuntos!E10)/NºAsuntos!G10),(NºAsuntos!C10+NºAsuntos!E10)/NºAsuntos!G10," - ")</f>
        <v>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0.76963350785340312</v>
      </c>
      <c r="C12" s="459">
        <f>IF(ISNUMBER(NºAsuntos!I12/NºAsuntos!G12),NºAsuntos!I12/NºAsuntos!G12," - ")</f>
        <v>3.9024943310657596</v>
      </c>
      <c r="D12" s="460">
        <f>IF(ISNUMBER('Resol  Asuntos'!D12/NºAsuntos!G12),'Resol  Asuntos'!D12/NºAsuntos!G12," - ")</f>
        <v>0.21768707482993196</v>
      </c>
      <c r="E12" s="461">
        <f>IF(ISNUMBER((NºAsuntos!C12+NºAsuntos!E12)/NºAsuntos!G12),(NºAsuntos!C12+NºAsuntos!E12)/NºAsuntos!G12," - ")</f>
        <v>4.9206349206349209</v>
      </c>
      <c r="G12" s="479"/>
    </row>
    <row r="13" spans="1:7" ht="14.25" thickTop="1" thickBot="1">
      <c r="A13" s="994" t="str">
        <f>Datos!A13</f>
        <v>TOTAL</v>
      </c>
      <c r="B13" s="1004">
        <f>IF(ISNUMBER(NºAsuntos!G13/NºAsuntos!E13),NºAsuntos!G13/NºAsuntos!E13," - ")</f>
        <v>0.77565217391304353</v>
      </c>
      <c r="C13" s="1005">
        <f>IF(ISNUMBER(NºAsuntos!I13/NºAsuntos!G13),NºAsuntos!I13/NºAsuntos!G13," - ")</f>
        <v>3.8878923766816142</v>
      </c>
      <c r="D13" s="1006">
        <f>IF(ISNUMBER('Resol  Asuntos'!D13/NºAsuntos!G13),'Resol  Asuntos'!D13/NºAsuntos!G13," - ")</f>
        <v>0.21524663677130046</v>
      </c>
      <c r="E13" s="1007">
        <f>IF(ISNUMBER((NºAsuntos!C13+NºAsuntos!E13)/NºAsuntos!G13),(NºAsuntos!C13+NºAsuntos!E13)/NºAsuntos!G13," - ")</f>
        <v>4.9058295964125564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0.9438202247191011</v>
      </c>
      <c r="C16" s="459">
        <f>IF(ISNUMBER(NºAsuntos!I16/NºAsuntos!G16),NºAsuntos!I16/NºAsuntos!G16," - ")</f>
        <v>2.4642857142857144</v>
      </c>
      <c r="D16" s="460">
        <f>IF(ISNUMBER('Resol  Asuntos'!D16/NºAsuntos!G16),'Resol  Asuntos'!D16/NºAsuntos!G16," - ")</f>
        <v>0.18650793650793651</v>
      </c>
      <c r="E16" s="461">
        <f>IF(ISNUMBER((NºAsuntos!C16+NºAsuntos!E16)/NºAsuntos!G16),(NºAsuntos!C16+NºAsuntos!E16)/NºAsuntos!G16," - ")</f>
        <v>3.4444444444444446</v>
      </c>
      <c r="G16" s="479"/>
    </row>
    <row r="17" spans="1:7" ht="13.5" thickBot="1">
      <c r="A17" s="413" t="str">
        <f>Datos!A17</f>
        <v>Jdos. Violencia contra la mujer</v>
      </c>
      <c r="B17" s="458">
        <f>IF(ISNUMBER(NºAsuntos!G17/NºAsuntos!E17),NºAsuntos!G17/NºAsuntos!E17," - ")</f>
        <v>5</v>
      </c>
      <c r="C17" s="459">
        <f>IF(ISNUMBER(NºAsuntos!I17/NºAsuntos!G17),NºAsuntos!I17/NºAsuntos!G17," - ")</f>
        <v>2.5</v>
      </c>
      <c r="D17" s="460">
        <f>IF(ISNUMBER('Resol  Asuntos'!D17/NºAsuntos!G17),'Resol  Asuntos'!D17/NºAsuntos!G17," - ")</f>
        <v>0</v>
      </c>
      <c r="E17" s="461">
        <f>IF(ISNUMBER((NºAsuntos!C17+NºAsuntos!E17)/NºAsuntos!G17),(NºAsuntos!C17+NºAsuntos!E17)/NºAsuntos!G17," - ")</f>
        <v>2.8666666666666667</v>
      </c>
      <c r="G17" s="479"/>
    </row>
    <row r="18" spans="1:7" ht="14.25" thickTop="1" thickBot="1">
      <c r="A18" s="994" t="str">
        <f>Datos!A18</f>
        <v>TOTAL</v>
      </c>
      <c r="B18" s="1004">
        <f>IF(ISNUMBER(NºAsuntos!G18/NºAsuntos!E18),NºAsuntos!G18/NºAsuntos!E18," - ")</f>
        <v>0.98888888888888893</v>
      </c>
      <c r="C18" s="1005">
        <f>IF(ISNUMBER(NºAsuntos!I18/NºAsuntos!G18),NºAsuntos!I18/NºAsuntos!G18," - ")</f>
        <v>2.4662921348314608</v>
      </c>
      <c r="D18" s="1008">
        <f>IF(ISNUMBER('Resol  Asuntos'!D18/NºAsuntos!G18),'Resol  Asuntos'!D18/NºAsuntos!G18," - ")</f>
        <v>0.17602996254681649</v>
      </c>
      <c r="E18" s="1007">
        <f>IF(ISNUMBER((NºAsuntos!C18+NºAsuntos!E18)/NºAsuntos!G18),(NºAsuntos!C18+NºAsuntos!E18)/NºAsuntos!G18," - ")</f>
        <v>3.4119850187265919</v>
      </c>
      <c r="G18" s="479"/>
    </row>
    <row r="19" spans="1:7" ht="15.75" customHeight="1" thickTop="1" thickBot="1">
      <c r="A19" s="939" t="str">
        <f>Datos!A19</f>
        <v>TOTAL JURISDICCIONES</v>
      </c>
      <c r="B19" s="954">
        <f>IF(ISNUMBER(NºAsuntos!G19/NºAsuntos!E19),NºAsuntos!G19/NºAsuntos!E19," - ")</f>
        <v>0.87892376681614348</v>
      </c>
      <c r="C19" s="955">
        <f>IF(ISNUMBER(NºAsuntos!I19/NºAsuntos!G19),NºAsuntos!I19/NºAsuntos!G19," - ")</f>
        <v>3.1132653061224489</v>
      </c>
      <c r="D19" s="956">
        <f>IF(ISNUMBER('Resol  Asuntos'!D19/NºAsuntos!G19),'Resol  Asuntos'!D19/NºAsuntos!G19," - ")</f>
        <v>0.19387755102040816</v>
      </c>
      <c r="E19" s="957">
        <f>IF(ISNUMBER((NºAsuntos!C19+NºAsuntos!E19)/NºAsuntos!G19),(NºAsuntos!C19+NºAsuntos!E19)/NºAsuntos!G19," - ")</f>
        <v>4.091836734693878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RWsX8BlTxnH4HLDhbWM3fAycTtFVsOuDXQG2gBnEVGBin/KVTsbBC3en322n6XeCaeWw5MOboJ/2fIBq3My6Q==" saltValue="rKH8glk+9Nu3nZTK8ypl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NAVALMORAL DE LA MATA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7</v>
      </c>
      <c r="Y10" s="343">
        <f t="shared" ref="Y10:Y12" si="0">SUM(W10:X10)</f>
        <v>12</v>
      </c>
      <c r="Z10" s="344" t="str">
        <f>IF(ISNUMBER(Datos!CC10),Datos!CC10," - ")</f>
        <v xml:space="preserve"> - </v>
      </c>
      <c r="AA10" s="341">
        <f>IF(ISNUMBER(Datos!L10),Datos!L10,"-")</f>
        <v>13</v>
      </c>
      <c r="AB10" s="343">
        <f>IF(ISNUMBER(Datos!R10),Datos!R10," - ")</f>
        <v>19</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2.5</v>
      </c>
      <c r="AM10" s="264">
        <f>IF(ISNUMBER(((NºAsuntos!I10/NºAsuntos!G10)*11)/factor_trimestre),((NºAsuntos!I10/NºAsuntos!G10)*11)/factor_trimestre," - ")</f>
        <v>7.8000000000000007</v>
      </c>
      <c r="AN10" s="248">
        <f>IF(ISNUMBER('Resol  Asuntos'!D10/NºAsuntos!G10),'Resol  Asuntos'!D10/NºAsuntos!G10," - ")</f>
        <v>0</v>
      </c>
      <c r="AO10" s="249">
        <f>IF(ISNUMBER((NºAsuntos!C10+NºAsuntos!E10)/NºAsuntos!G10),(NºAsuntos!C10+NºAsuntos!E10)/NºAsuntos!G10," - ")</f>
        <v>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168</v>
      </c>
      <c r="Y12" s="343">
        <f t="shared" si="0"/>
        <v>168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2221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96</v>
      </c>
      <c r="AJ12" s="233" t="str">
        <f>IF(ISNUMBER(Datos!BW12),Datos!BW12," - ")</f>
        <v xml:space="preserve"> - </v>
      </c>
      <c r="AK12" s="232" t="str">
        <f>IF(ISNUMBER(Datos!BX12),Datos!BX12," - ")</f>
        <v xml:space="preserve"> - </v>
      </c>
      <c r="AL12" s="247">
        <f>IF(ISNUMBER(NºAsuntos!G12/NºAsuntos!E12),NºAsuntos!G12/NºAsuntos!E12," - ")</f>
        <v>0.76963350785340312</v>
      </c>
      <c r="AM12" s="264">
        <f>IF(ISNUMBER(((NºAsuntos!I12/NºAsuntos!G12)*11)/factor_trimestre),((NºAsuntos!I12/NºAsuntos!G12)*11)/factor_trimestre," - ")</f>
        <v>11.70748299319728</v>
      </c>
      <c r="AN12" s="248">
        <f>IF(ISNUMBER('Resol  Asuntos'!D12/NºAsuntos!G12),'Resol  Asuntos'!D12/NºAsuntos!G12," - ")</f>
        <v>0.21768707482993196</v>
      </c>
      <c r="AO12" s="249">
        <f>IF(ISNUMBER((NºAsuntos!C12+NºAsuntos!E12)/NºAsuntos!G12),(NºAsuntos!C12+NºAsuntos!E12)/NºAsuntos!G12," - ")</f>
        <v>4.9206349206349209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16</v>
      </c>
      <c r="G13" s="1012">
        <f t="shared" si="3"/>
        <v>16</v>
      </c>
      <c r="H13" s="1011">
        <f t="shared" si="3"/>
        <v>0</v>
      </c>
      <c r="I13" s="1013">
        <f t="shared" si="3"/>
        <v>0</v>
      </c>
      <c r="J13" s="1013">
        <f t="shared" si="3"/>
        <v>0</v>
      </c>
      <c r="K13" s="1013">
        <f t="shared" si="3"/>
        <v>0</v>
      </c>
      <c r="L13" s="1013">
        <f t="shared" si="3"/>
        <v>130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175</v>
      </c>
      <c r="Y13" s="1014">
        <f t="shared" si="4"/>
        <v>180</v>
      </c>
      <c r="Z13" s="1014">
        <f t="shared" si="4"/>
        <v>0</v>
      </c>
      <c r="AA13" s="1014">
        <f t="shared" si="4"/>
        <v>13</v>
      </c>
      <c r="AB13" s="1014">
        <f t="shared" si="4"/>
        <v>2240</v>
      </c>
      <c r="AC13" s="1014">
        <f t="shared" si="4"/>
        <v>32</v>
      </c>
      <c r="AD13" s="1014">
        <f t="shared" si="4"/>
        <v>0</v>
      </c>
      <c r="AE13" s="1018">
        <f t="shared" si="4"/>
        <v>0</v>
      </c>
      <c r="AF13" s="1011">
        <f t="shared" si="4"/>
        <v>0</v>
      </c>
      <c r="AG13" s="1019">
        <f t="shared" si="4"/>
        <v>0</v>
      </c>
      <c r="AH13" s="1016">
        <f t="shared" si="4"/>
        <v>0</v>
      </c>
      <c r="AI13" s="1011">
        <f t="shared" si="4"/>
        <v>96</v>
      </c>
      <c r="AJ13" s="1013">
        <f t="shared" si="4"/>
        <v>0</v>
      </c>
      <c r="AK13" s="1016">
        <f>SUBTOTAL(9,AK9:AK12)</f>
        <v>0</v>
      </c>
      <c r="AL13" s="1020">
        <f>IF(ISNUMBER(NºAsuntos!G13/NºAsuntos!E13),NºAsuntos!G13/NºAsuntos!E13," - ")</f>
        <v>0.77565217391304353</v>
      </c>
      <c r="AM13" s="1020">
        <f>IF(ISNUMBER(((NºAsuntos!I13/NºAsuntos!G13)*11)/factor_trimestre),((NºAsuntos!I13/NºAsuntos!G13)*11)/factor_trimestre," - ")</f>
        <v>11.663677130044842</v>
      </c>
      <c r="AN13" s="1021">
        <f>IF(ISNUMBER('Resol  Asuntos'!D13/NºAsuntos!G13),'Resol  Asuntos'!D13/NºAsuntos!G13," - ")</f>
        <v>0.21524663677130046</v>
      </c>
      <c r="AO13" s="1022">
        <f>IF(ISNUMBER((NºAsuntos!C13+NºAsuntos!E13)/NºAsuntos!G13),(NºAsuntos!C13+NºAsuntos!E13)/NºAsuntos!G13," - ")</f>
        <v>4.9058295964125564</v>
      </c>
      <c r="AP13" s="1023" t="str">
        <f t="shared" si="2"/>
        <v xml:space="preserve"> - </v>
      </c>
      <c r="AQ13" s="1023">
        <f>IF(ISNUMBER((H13-W13+K13)/(F13)),(H13-W13+K13)/(F13)," - ")</f>
        <v>-0.3125</v>
      </c>
      <c r="AR13" s="1024">
        <f>IF(ISNUMBER((Datos!P13-Datos!Q13)/(Datos!R13-Datos!P13+Datos!Q13)),(Datos!P13-Datos!Q13)/(Datos!R13-Datos!P13+Datos!Q13)," - ")</f>
        <v>-1.9693654266958426E-2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1212</v>
      </c>
      <c r="G16" s="342">
        <f>IF(ISNUMBER(IF(D_I="SI",Datos!I16,Datos!I16+Datos!AC16)),IF(D_I="SI",Datos!I16,Datos!I16+Datos!AC16)," - ")</f>
        <v>1202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504</v>
      </c>
      <c r="X16" s="230">
        <f>IF(ISNUMBER(Datos!Q16),Datos!Q16," - ")</f>
        <v>13</v>
      </c>
      <c r="Y16" s="343">
        <f t="shared" ref="Y16:Y17" si="7">SUM(W16:X16)</f>
        <v>517</v>
      </c>
      <c r="Z16" s="344" t="str">
        <f>IF(ISNUMBER(Datos!CC16),Datos!CC16," - ")</f>
        <v xml:space="preserve"> - </v>
      </c>
      <c r="AA16" s="341">
        <f>IF(ISNUMBER(IF(D_I="SI",Datos!L16,Datos!L16+Datos!AF16)),IF(D_I="SI",Datos!L16,Datos!L16+Datos!AF16)," - ")</f>
        <v>1242</v>
      </c>
      <c r="AB16" s="343">
        <f>IF(ISNUMBER(Datos!R16),Datos!R16," - ")</f>
        <v>79</v>
      </c>
      <c r="AC16" s="343">
        <f t="shared" si="6"/>
        <v>1321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94</v>
      </c>
      <c r="AJ16" s="235" t="str">
        <f>IF(ISNUMBER(Datos!BW16),Datos!BW16," - ")</f>
        <v xml:space="preserve"> - </v>
      </c>
      <c r="AK16" s="236" t="str">
        <f>IF(ISNUMBER(Datos!BX16),Datos!BX16," - ")</f>
        <v xml:space="preserve"> - </v>
      </c>
      <c r="AL16" s="247">
        <f>IF(ISNUMBER(NºAsuntos!G16/NºAsuntos!E16),NºAsuntos!G16/NºAsuntos!E16," - ")</f>
        <v>0.9438202247191011</v>
      </c>
      <c r="AM16" s="264">
        <f>IF(ISNUMBER(((NºAsuntos!I16/NºAsuntos!G16)*11)/factor_trimestre),((NºAsuntos!I16/NºAsuntos!G16)*11)/factor_trimestre," - ")</f>
        <v>7.3928571428571432</v>
      </c>
      <c r="AN16" s="248">
        <f>IF(ISNUMBER('Resol  Asuntos'!D16/NºAsuntos!G16),'Resol  Asuntos'!D16/NºAsuntos!G16," - ")</f>
        <v>0.18650793650793651</v>
      </c>
      <c r="AO16" s="249">
        <f>IF(ISNUMBER((NºAsuntos!C16+NºAsuntos!E16)/NºAsuntos!G16),(NºAsuntos!C16+NºAsuntos!E16)/NºAsuntos!G16," - ")</f>
        <v>3.4444444444444446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75</v>
      </c>
      <c r="AB17" s="343">
        <f>IF(ISNUMBER(Datos!R17),Datos!R17," - ")</f>
        <v>0</v>
      </c>
      <c r="AC17" s="343">
        <f t="shared" si="6"/>
        <v>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5</v>
      </c>
      <c r="AM17" s="264">
        <f>IF(ISNUMBER(((NºAsuntos!I17/NºAsuntos!G17)*11)/factor_trimestre),((NºAsuntos!I17/NºAsuntos!G17)*11)/factor_trimestre," - ")</f>
        <v>7.5</v>
      </c>
      <c r="AN17" s="248">
        <f>IF(ISNUMBER('Resol  Asuntos'!D17/NºAsuntos!G17),'Resol  Asuntos'!D17/NºAsuntos!G17," - ")</f>
        <v>0</v>
      </c>
      <c r="AO17" s="249">
        <f>IF(ISNUMBER((NºAsuntos!C17+NºAsuntos!E17)/NºAsuntos!G17),(NºAsuntos!C17+NºAsuntos!E17)/NºAsuntos!G17," - ")</f>
        <v>2.8666666666666667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1212</v>
      </c>
      <c r="G18" s="1012">
        <f>SUBTOTAL(9,G15:G17)</f>
        <v>1282</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534</v>
      </c>
      <c r="X18" s="1013">
        <f t="shared" si="11"/>
        <v>13</v>
      </c>
      <c r="Y18" s="1014">
        <f t="shared" si="11"/>
        <v>547</v>
      </c>
      <c r="Z18" s="1014">
        <f t="shared" si="11"/>
        <v>0</v>
      </c>
      <c r="AA18" s="1014">
        <f t="shared" si="11"/>
        <v>1317</v>
      </c>
      <c r="AB18" s="1014">
        <f t="shared" si="11"/>
        <v>79</v>
      </c>
      <c r="AC18" s="1014">
        <f t="shared" si="11"/>
        <v>1396</v>
      </c>
      <c r="AD18" s="1014">
        <f t="shared" si="11"/>
        <v>0</v>
      </c>
      <c r="AE18" s="1018">
        <f t="shared" si="11"/>
        <v>0</v>
      </c>
      <c r="AF18" s="1011">
        <f t="shared" si="11"/>
        <v>0</v>
      </c>
      <c r="AG18" s="1019">
        <f t="shared" si="11"/>
        <v>0</v>
      </c>
      <c r="AH18" s="1016">
        <f t="shared" si="11"/>
        <v>0</v>
      </c>
      <c r="AI18" s="1011">
        <f t="shared" si="11"/>
        <v>94</v>
      </c>
      <c r="AJ18" s="1013">
        <f t="shared" si="11"/>
        <v>0</v>
      </c>
      <c r="AK18" s="1016">
        <f t="shared" si="11"/>
        <v>0</v>
      </c>
      <c r="AL18" s="1020">
        <f>IF(ISNUMBER(NºAsuntos!G18/NºAsuntos!E18),NºAsuntos!G18/NºAsuntos!E18," - ")</f>
        <v>0.98888888888888893</v>
      </c>
      <c r="AM18" s="1020">
        <f>IF(ISNUMBER(((NºAsuntos!I18/NºAsuntos!G18)*11)/factor_trimestre),((NºAsuntos!I18/NºAsuntos!G18)*11)/factor_trimestre," - ")</f>
        <v>7.3988764044943824</v>
      </c>
      <c r="AN18" s="1021">
        <f>IF(ISNUMBER('Resol  Asuntos'!D18/NºAsuntos!G18),'Resol  Asuntos'!D18/NºAsuntos!G18," - ")</f>
        <v>0.17602996254681649</v>
      </c>
      <c r="AO18" s="1022">
        <f>IF(ISNUMBER((NºAsuntos!C18+NºAsuntos!E18)/NºAsuntos!G18),(NºAsuntos!C18+NºAsuntos!E18)/NºAsuntos!G18," - ")</f>
        <v>3.4119850187265919</v>
      </c>
      <c r="AP18" s="1023" t="str">
        <f t="shared" si="2"/>
        <v xml:space="preserve"> - </v>
      </c>
      <c r="AQ18" s="1023">
        <f>IF(ISNUMBER((H18-W18+K18)/(F18)),(H18-W18+K18)/(F18)," - ")</f>
        <v>-0.4405940594059406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1228</v>
      </c>
      <c r="G19" s="967">
        <f t="shared" si="13"/>
        <v>1298</v>
      </c>
      <c r="H19" s="966">
        <f t="shared" si="13"/>
        <v>0</v>
      </c>
      <c r="I19" s="968">
        <f t="shared" si="13"/>
        <v>0</v>
      </c>
      <c r="J19" s="968">
        <f t="shared" si="13"/>
        <v>0</v>
      </c>
      <c r="K19" s="1027">
        <f t="shared" si="13"/>
        <v>0</v>
      </c>
      <c r="L19" s="968">
        <f t="shared" si="13"/>
        <v>143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539</v>
      </c>
      <c r="X19" s="967">
        <f t="shared" si="14"/>
        <v>188</v>
      </c>
      <c r="Y19" s="974">
        <f t="shared" si="14"/>
        <v>727</v>
      </c>
      <c r="Z19" s="974">
        <f t="shared" si="14"/>
        <v>0</v>
      </c>
      <c r="AA19" s="974">
        <f t="shared" si="14"/>
        <v>1330</v>
      </c>
      <c r="AB19" s="974">
        <f t="shared" si="14"/>
        <v>2319</v>
      </c>
      <c r="AC19" s="974">
        <f t="shared" si="14"/>
        <v>1428</v>
      </c>
      <c r="AD19" s="974">
        <f t="shared" si="14"/>
        <v>0</v>
      </c>
      <c r="AE19" s="976">
        <f t="shared" si="14"/>
        <v>0</v>
      </c>
      <c r="AF19" s="977">
        <f t="shared" si="14"/>
        <v>0</v>
      </c>
      <c r="AG19" s="978">
        <f t="shared" si="14"/>
        <v>0</v>
      </c>
      <c r="AH19" s="976">
        <f t="shared" si="14"/>
        <v>0</v>
      </c>
      <c r="AI19" s="966">
        <f t="shared" si="14"/>
        <v>190</v>
      </c>
      <c r="AJ19" s="966">
        <f t="shared" si="14"/>
        <v>0</v>
      </c>
      <c r="AK19" s="976">
        <f t="shared" si="14"/>
        <v>0</v>
      </c>
      <c r="AL19" s="1030">
        <f>IF(ISNUMBER(NºAsuntos!G19/NºAsuntos!E19),NºAsuntos!G19/NºAsuntos!E19," - ")</f>
        <v>0.87892376681614348</v>
      </c>
      <c r="AM19" s="1031">
        <f>IF(ISNUMBER(((NºAsuntos!I19/NºAsuntos!G19)*11)/factor_trimestre),((NºAsuntos!I19/NºAsuntos!G19)*11)/factor_trimestre," - ")</f>
        <v>9.3397959183673471</v>
      </c>
      <c r="AN19" s="1031">
        <f>IF(ISNUMBER('Resol  Asuntos'!D19/NºAsuntos!G19),'Resol  Asuntos'!D19/NºAsuntos!G19," - ")</f>
        <v>0.19387755102040816</v>
      </c>
      <c r="AO19" s="1032">
        <f>IF(ISNUMBER((NºAsuntos!C19+NºAsuntos!E19)/NºAsuntos!G19),(NºAsuntos!C19+NºAsuntos!E19)/NºAsuntos!G19," - ")</f>
        <v>4.091836734693878</v>
      </c>
      <c r="AP19" s="1033" t="str">
        <f t="shared" si="2"/>
        <v xml:space="preserve"> - </v>
      </c>
      <c r="AQ19" s="1034">
        <f>IF(OR(ISNUMBER(FIND("01",Criterios!A8,1)),ISNUMBER(FIND("02",Criterios!A8,1)),ISNUMBER(FIND("03",Criterios!A8,1)),ISNUMBER(FIND("04",Criterios!A8,1))),(I19-W19+K19)/(F19-K19),(H19-W19+K19)/(F19-K19))</f>
        <v>-0.43892508143322473</v>
      </c>
      <c r="AR19" s="1035">
        <f>IF(ISNUMBER((Datos!P19-Datos!Q19)/(Datos!R19-Datos!P19+Datos!Q19)),(Datos!P19-Datos!Q19)/(Datos!R19-Datos!P19+Datos!Q19)," - ")</f>
        <v>-1.9035532994923859E-2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519.20000000000005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690.51092195079241</v>
      </c>
      <c r="G21" s="257">
        <f>IF(ISNUMBER(STDEV(G8:G18)),STDEV(G8:G18),"-")</f>
        <v>660.94568611951775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277.35590853630646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49.065942023634541</v>
      </c>
      <c r="AJ21" s="256">
        <f t="shared" si="18"/>
        <v>0</v>
      </c>
      <c r="AK21" s="258">
        <f t="shared" si="18"/>
        <v>0</v>
      </c>
      <c r="AL21" s="253">
        <f t="shared" si="18"/>
        <v>1.6868081254992879</v>
      </c>
      <c r="AM21" s="254">
        <f t="shared" si="18"/>
        <v>2.1547187476827925</v>
      </c>
      <c r="AN21" s="254">
        <f t="shared" si="18"/>
        <v>0.10395000855293796</v>
      </c>
      <c r="AO21" s="255">
        <f t="shared" si="18"/>
        <v>0.8539792468864098</v>
      </c>
      <c r="AP21" s="295" t="str">
        <f t="shared" si="18"/>
        <v>-</v>
      </c>
      <c r="AQ21" s="296">
        <f t="shared" si="18"/>
        <v>9.0576178035653057E-2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pltI0Nok/XHLy++vJRcE/gMNQqN6bE2OspDSv0KlXkRmetnxiOLipP3pFOKv3UwX2L3CF+K7k8HU3YiSCcJ1g==" saltValue="ZhrXYezVMbsXCIGabbED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NAVALMORAL DE LA MATA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-0.6</v>
      </c>
      <c r="F10" s="357">
        <f>IF(ISNUMBER((Datos!K10-Datos!U10)/Datos!U10),(Datos!K10-Datos!U10)/Datos!U10," - ")</f>
        <v>-0.16666666666666666</v>
      </c>
      <c r="G10" s="358">
        <f>IF(ISNUMBER((Datos!L10-Datos!V10)/Datos!V10),(Datos!L10-Datos!V10)/Datos!V10," - ")</f>
        <v>-0.13333333333333333</v>
      </c>
      <c r="H10" s="234">
        <f>IF(ISNUMBER((Datos!M10-Datos!W10)/Datos!W10),(Datos!M10-Datos!W10)/Datos!W10," - ")</f>
        <v>-1</v>
      </c>
      <c r="I10" s="359">
        <f>IF(ISNUMBER((Tasas!C10-Datos!BE10)/Datos!BE10),(Tasas!C10-Datos!BE10)/Datos!BE10," - ")</f>
        <v>4.0000000000000036E-2</v>
      </c>
      <c r="J10" s="358">
        <f>IF(ISNUMBER((Tasas!D10-Datos!BF10)/Datos!BF10),(Tasas!D10-Datos!BF10)/Datos!BF10," - ")</f>
        <v>-1</v>
      </c>
      <c r="K10" s="360">
        <f>IF(ISNUMBER((Tasas!E10-Datos!BG10)/Datos!BG10),(Tasas!E10-Datos!BG10)/Datos!BG10," - ")</f>
        <v>2.8571428571428598E-2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v>
      </c>
      <c r="I12" s="359">
        <f>IF(ISNUMBER((Tasas!C12-Datos!BE12)/Datos!BE12),(Tasas!C12-Datos!BE12)/Datos!BE12," - ")</f>
        <v>0.64872822514018524</v>
      </c>
      <c r="J12" s="358">
        <f>IF(ISNUMBER((Tasas!D12-Datos!BF12)/Datos!BF12),(Tasas!D12-Datos!BF12)/Datos!BF12," - ")</f>
        <v>-0.44037992555512778</v>
      </c>
      <c r="K12" s="360">
        <f>IF(ISNUMBER((Tasas!E12-Datos!BG12)/Datos!BG12),(Tasas!E12-Datos!BG12)/Datos!BG12," - ")</f>
        <v>0.46144197915315088</v>
      </c>
      <c r="M12" t="e">
        <f>IF(Monitorios="SI",Datos!CE12,0)</f>
        <v>#REF!</v>
      </c>
      <c r="N12" t="e">
        <f>IF(Monitorios="SI",Datos!CF12,0)</f>
        <v>#REF!</v>
      </c>
      <c r="O12" t="e">
        <f>IF(Monitorios="SI",Datos!CG12,0)</f>
        <v>#REF!</v>
      </c>
      <c r="P12" t="e">
        <f>IF(Monitorios="SI",Datos!CH12,0)</f>
        <v>#REF!</v>
      </c>
      <c r="Q12">
        <f>IF(J_V="SI",0,Datos!AG12)</f>
        <v>59</v>
      </c>
      <c r="R12">
        <f>IF(J_V="SI",0,Datos!AH12)</f>
        <v>34</v>
      </c>
      <c r="S12">
        <f>IF(J_V="SI",0,Datos!AI12)</f>
        <v>52</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-0.21311475409836064</v>
      </c>
      <c r="I13" s="366">
        <f>IF(ISNUMBER((Tasas!C13-Datos!BE13)/Datos!BE13),(Tasas!C13-Datos!BE13)/Datos!BE13," - ")</f>
        <v>0.64155455904334835</v>
      </c>
      <c r="J13" s="364">
        <f>IF(ISNUMBER((Tasas!D13-Datos!BF13)/Datos!BF13),(Tasas!D13-Datos!BF13)/Datos!BF13," - ")</f>
        <v>-0.44579020158417493</v>
      </c>
      <c r="K13" s="367">
        <f>IF(ISNUMBER((Tasas!E13-Datos!BG13)/Datos!BG13),(Tasas!E13-Datos!BG13)/Datos!BG13," - ")</f>
        <v>0.45641816143497776</v>
      </c>
      <c r="M13" t="e">
        <f>IF(Monitorios="SI",Datos!CE13,0)</f>
        <v>#REF!</v>
      </c>
      <c r="N13" t="e">
        <f>IF(Monitorios="SI",Datos!CF13,0)</f>
        <v>#REF!</v>
      </c>
      <c r="O13" t="e">
        <f>IF(Monitorios="SI",Datos!CG13,0)</f>
        <v>#REF!</v>
      </c>
      <c r="P13" t="e">
        <f>IF(Monitorios="SI",Datos!CH13,0)</f>
        <v>#REF!</v>
      </c>
      <c r="Q13">
        <f>IF(J_V="SI",0,Datos!AG13)</f>
        <v>59</v>
      </c>
      <c r="R13">
        <f>IF(J_V="SI",0,Datos!AH13)</f>
        <v>34</v>
      </c>
      <c r="S13">
        <f>IF(J_V="SI",0,Datos!AI13)</f>
        <v>52</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0.24173553719008264</v>
      </c>
      <c r="E16" s="357">
        <f>IF(ISNUMBER(
   IF(D_I="SI",(Datos!J16-Datos!T16)/Datos!T16,(Datos!J16+Datos!AD16-(Datos!T16+Datos!AL16))/(Datos!T16+Datos!AL16))
     ),IF(D_I="SI",(Datos!J16-Datos!T16)/Datos!T16,(Datos!J16+Datos!AD16-(Datos!T16+Datos!AL16))/(Datos!T16+Datos!AL16))," - ")</f>
        <v>-0.28799999999999998</v>
      </c>
      <c r="F16" s="357">
        <f>IF(ISNUMBER(
   IF(D_I="SI",(Datos!K16-Datos!U16)/Datos!U16,(Datos!K16+Datos!AE16-(Datos!U16+Datos!AM16))/(Datos!U16+Datos!AM16))
     ),IF(D_I="SI",(Datos!K16-Datos!U16)/Datos!U16,(Datos!K16+Datos!AE16-(Datos!U16+Datos!AM16))/(Datos!U16+Datos!AM16))," - ")</f>
        <v>-0.2769010043041607</v>
      </c>
      <c r="G16" s="358">
        <f>IF(ISNUMBER(
   IF(D_I="SI",(Datos!L16-Datos!V16)/Datos!V16,(Datos!L16+Datos!AF16-(Datos!V16+Datos!AN16))/(Datos!V16+Datos!AN16))
     ),IF(D_I="SI",(Datos!L16-Datos!V16)/Datos!V16,(Datos!L16+Datos!AF16-(Datos!V16+Datos!AN16))/(Datos!V16+Datos!AN16))," - ")</f>
        <v>0.21645445641527913</v>
      </c>
      <c r="H16" s="234">
        <f>IF(ISNUMBER((Datos!M16-Datos!W16)/Datos!W16),(Datos!M16-Datos!W16)/Datos!W16," - ")</f>
        <v>-3.0927835051546393E-2</v>
      </c>
      <c r="I16" s="359">
        <f>IF(ISNUMBER((Tasas!C16-Datos!BE16)/Datos!BE16),(Tasas!C16-Datos!BE16)/Datos!BE16," - ")</f>
        <v>0.68227927801874921</v>
      </c>
      <c r="J16" s="358">
        <f>IF(ISNUMBER((Tasas!D16-Datos!BF16)/Datos!BF16),(Tasas!D16-Datos!BF16)/Datos!BF16," - ")</f>
        <v>0.34016527573228611</v>
      </c>
      <c r="K16" s="360">
        <f>IF(ISNUMBER((Tasas!E16-Datos!BG16)/Datos!BG16),(Tasas!E16-Datos!BG16)/Datos!BG16," - ")</f>
        <v>0.39742594748415477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-0.13978494623655913</v>
      </c>
      <c r="E17" s="357">
        <f>IF(ISNUMBER(
   IF(D_I="SI",(Datos!J17-Datos!T17)/Datos!T17,(Datos!J17+Datos!AD17-(Datos!T17+Datos!AL17))/(Datos!T17+Datos!AL17))
     ),IF(D_I="SI",(Datos!J17-Datos!T17)/Datos!T17,(Datos!J17+Datos!AD17-(Datos!T17+Datos!AL17))/(Datos!T17+Datos!AL17))," - ")</f>
        <v>-0.92307692307692313</v>
      </c>
      <c r="F17" s="357">
        <f>IF(ISNUMBER(
   IF(D_I="SI",(Datos!K17-Datos!U17)/Datos!U17,(Datos!K17+Datos!AE17-(Datos!U17+Datos!AM17))/(Datos!U17+Datos!AM17))
     ),IF(D_I="SI",(Datos!K17-Datos!U17)/Datos!U17,(Datos!K17+Datos!AE17-(Datos!U17+Datos!AM17))/(Datos!U17+Datos!AM17))," - ")</f>
        <v>-0.58333333333333337</v>
      </c>
      <c r="G17" s="358">
        <f>IF(ISNUMBER(
   IF(D_I="SI",(Datos!L17-Datos!V17)/Datos!V17,(Datos!L17+Datos!AF17-(Datos!V17+Datos!AN17))/(Datos!V17+Datos!AN17))
     ),IF(D_I="SI",(Datos!L17-Datos!V17)/Datos!V17,(Datos!L17+Datos!AF17-(Datos!V17+Datos!AN17))/(Datos!V17+Datos!AN17))," - ")</f>
        <v>-0.24242424242424243</v>
      </c>
      <c r="H17" s="234">
        <f>IF(ISNUMBER((Datos!M17-Datos!W17)/Datos!W17),(Datos!M17-Datos!W17)/Datos!W17," - ")</f>
        <v>-1</v>
      </c>
      <c r="I17" s="359">
        <f>IF(ISNUMBER((Tasas!C17-Datos!BE17)/Datos!BE17),(Tasas!C17-Datos!BE17)/Datos!BE17," - ")</f>
        <v>0.81818181818181823</v>
      </c>
      <c r="J17" s="358">
        <f>IF(ISNUMBER((Tasas!D17-Datos!BF17)/Datos!BF17),(Tasas!D17-Datos!BF17)/Datos!BF17," - ")</f>
        <v>-1</v>
      </c>
      <c r="K17" s="360">
        <f>IF(ISNUMBER((Tasas!E17-Datos!BG17)/Datos!BG17),(Tasas!E17-Datos!BG17)/Datos!BG17," - ")</f>
        <v>0.20701754385964913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0.20829406220546653</v>
      </c>
      <c r="E18" s="363">
        <f>IF(ISNUMBER(
   IF(D_I="SI",(Datos!J18-Datos!T18)/Datos!T18,(Datos!J18+Datos!AD18-(Datos!T18+Datos!AL18))/(Datos!T18+Datos!AL18))
     ),IF(D_I="SI",(Datos!J18-Datos!T18)/Datos!T18,(Datos!J18+Datos!AD18-(Datos!T18+Datos!AL18))/(Datos!T18+Datos!AL18))," - ")</f>
        <v>-0.34782608695652173</v>
      </c>
      <c r="F18" s="363">
        <f>IF(ISNUMBER(
   IF(D_I="SI",(Datos!K18-Datos!U18)/Datos!U18,(Datos!K18+Datos!AE18-(Datos!U18+Datos!AM18))/(Datos!U18+Datos!AM18))
     ),IF(D_I="SI",(Datos!K18-Datos!U18)/Datos!U18,(Datos!K18+Datos!AE18-(Datos!U18+Datos!AM18))/(Datos!U18+Datos!AM18))," - ")</f>
        <v>-0.305591677503251</v>
      </c>
      <c r="G18" s="364">
        <f>IF(ISNUMBER(
   IF(D_I="SI",(Datos!L18-Datos!V18)/Datos!V18,(Datos!L18+Datos!AF18-(Datos!V18+Datos!AN18))/(Datos!V18+Datos!AN18))
     ),IF(D_I="SI",(Datos!L18-Datos!V18)/Datos!V18,(Datos!L18+Datos!AF18-(Datos!V18+Datos!AN18))/(Datos!V18+Datos!AN18))," - ")</f>
        <v>0.17589285714285716</v>
      </c>
      <c r="H18" s="365">
        <f>IF(ISNUMBER((Datos!M18-Datos!W18)/Datos!W18),(Datos!M18-Datos!W18)/Datos!W18," - ")</f>
        <v>-5.0505050505050504E-2</v>
      </c>
      <c r="I18" s="366">
        <f>IF(ISNUMBER((Tasas!C18-Datos!BE18)/Datos!BE18),(Tasas!C18-Datos!BE18)/Datos!BE18," - ")</f>
        <v>0.69337379614767281</v>
      </c>
      <c r="J18" s="364">
        <f>IF(ISNUMBER((Tasas!D18-Datos!BF18)/Datos!BF18),(Tasas!D18-Datos!BF18)/Datos!BF18," - ")</f>
        <v>0.36734385048991797</v>
      </c>
      <c r="K18" s="367">
        <f>IF(ISNUMBER((Tasas!E18-Datos!BG18)/Datos!BG18),(Tasas!E18-Datos!BG18)/Datos!BG18," - ")</f>
        <v>0.38899760688234464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0.18453355155482815</v>
      </c>
      <c r="E19" s="372">
        <f>IF(ISNUMBER(
   IF(J_V="SI",(Datos!J19-Datos!T19)/Datos!T19,(Datos!J19+Datos!Z19-(Datos!T19+Datos!AH19))/(Datos!T19+Datos!AH19))
     ),IF(J_V="SI",(Datos!J19-Datos!T19)/Datos!T19,(Datos!J19+Datos!Z19-(Datos!T19+Datos!AH19))/(Datos!T19+Datos!AH19))," - ")</f>
        <v>-0.14296694850115296</v>
      </c>
      <c r="F19" s="372">
        <f>IF(ISNUMBER(
   IF(J_V="SI",(Datos!K19-Datos!U19)/Datos!U19,(Datos!K19+Datos!AA19-(Datos!U19+Datos!AI19))/(Datos!U19+Datos!AI19))
     ),IF(J_V="SI",(Datos!K19-Datos!U19)/Datos!U19,(Datos!K19+Datos!AA19-(Datos!U19+Datos!AI19))/(Datos!U19+Datos!AI19))," - ")</f>
        <v>-0.25757575757575757</v>
      </c>
      <c r="G19" s="373">
        <f>IF(ISNUMBER(
   IF(J_V="SI",(Datos!L19-Datos!V19)/Datos!V19,(Datos!L19+Datos!AB19-(Datos!V19+Datos!AJ19))/(Datos!V19+Datos!AJ19))
     ),IF(J_V="SI",(Datos!L19-Datos!V19)/Datos!V19,(Datos!L19+Datos!AB19-(Datos!V19+Datos!AJ19))/(Datos!V19+Datos!AJ19))," - ")</f>
        <v>0.25814432989690722</v>
      </c>
      <c r="H19" s="374">
        <f>IF(ISNUMBER((Datos!M19-Datos!W19)/Datos!W19),(Datos!M19-Datos!W19)/Datos!W19," - ")</f>
        <v>-0.14027149321266968</v>
      </c>
      <c r="I19" s="371">
        <f>IF(ISNUMBER((Tasas!C19-Datos!BE19)/Datos!BE19),(Tasas!C19-Datos!BE19)/Datos!BE19," - ")</f>
        <v>0.69464338312644636</v>
      </c>
      <c r="J19" s="372">
        <f>IF(ISNUMBER((Tasas!D19-Datos!BF19)/Datos!BF19),(Tasas!D19-Datos!BF19)/Datos!BF19," - ")</f>
        <v>-0.18236943339636177</v>
      </c>
      <c r="K19" s="373">
        <f>IF(ISNUMBER((Tasas!E19-Datos!BG19)/Datos!BG19),(Tasas!E19-Datos!BG19)/Datos!BG19," - ")</f>
        <v>0.44224952998555922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0.18009199619597646</v>
      </c>
      <c r="E21" s="282">
        <f t="shared" si="1"/>
        <v>0.28912652420798912</v>
      </c>
      <c r="F21" s="282">
        <f t="shared" si="1"/>
        <v>0.17723036640850837</v>
      </c>
      <c r="G21" s="283">
        <f t="shared" si="1"/>
        <v>0.2267666312449757</v>
      </c>
      <c r="H21" s="289">
        <f t="shared" si="1"/>
        <v>0.45864958340121587</v>
      </c>
      <c r="I21" s="281">
        <f t="shared" si="1"/>
        <v>0.27562053067586051</v>
      </c>
      <c r="J21" s="282">
        <f t="shared" si="1"/>
        <v>0.60864165852839858</v>
      </c>
      <c r="K21" s="283">
        <f t="shared" si="1"/>
        <v>0.17146487832260962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VurNA4VDkKSdagMYB0CtME9u5JhgOh7wwqJz0GtRYm0WQdd2cy3gyZ4ay+TdLtSF3fjxeRbpm6VAOi3/V5Msg==" saltValue="pBP9n6NRphceW+knrDDz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